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480" yWindow="300" windowWidth="13050" windowHeight="9135" tabRatio="743" firstSheet="5" activeTab="11"/>
  </bookViews>
  <sheets>
    <sheet name="Introduction et jurisprudence" sheetId="1" r:id="rId1"/>
    <sheet name="identification PNN + codes" sheetId="8" r:id="rId2"/>
    <sheet name="méthodes d'analyse (1)" sheetId="9" r:id="rId3"/>
    <sheet name="méthodes d'analyse (2)" sheetId="2" r:id="rId4"/>
    <sheet name="méthodes d'analyse (3)" sheetId="7" r:id="rId5"/>
    <sheet name="VL - légende et commentaires" sheetId="18" r:id="rId6"/>
    <sheet name="VL - synthèse" sheetId="10" r:id="rId7"/>
    <sheet name="VL - détail VLH (Risc Human)" sheetId="11" r:id="rId8"/>
    <sheet name="VL - détail VLH (S-Risk)" sheetId="16" r:id="rId9"/>
    <sheet name="VL - détail VLnappe" sheetId="12" r:id="rId10"/>
    <sheet name="VL - détail paramètres et VTR" sheetId="15" r:id="rId11"/>
    <sheet name="VL - PNN sans VL" sheetId="13" r:id="rId12"/>
  </sheets>
  <externalReferences>
    <externalReference r:id="rId13"/>
    <externalReference r:id="rId14"/>
    <externalReference r:id="rId15"/>
  </externalReferences>
  <definedNames>
    <definedName name="_xlnm._FilterDatabase" localSheetId="7" hidden="1">'VL - détail VLH (Risc Human)'!$C$118:$C$167</definedName>
    <definedName name="_xlnm._FilterDatabase" localSheetId="8" hidden="1">'VL - détail VLH (S-Risk)'!$C$41:$C$76</definedName>
    <definedName name="_xlnm.Criteria" localSheetId="7">'VL - détail VLH (Risc Human)'!$C$4</definedName>
    <definedName name="_xlnm.Criteria" localSheetId="8">'VL - détail VLH (S-Risk)'!$C$6</definedName>
    <definedName name="_xlnm.Print_Titles" localSheetId="7">'VL - détail VLH (Risc Human)'!$2:$4</definedName>
    <definedName name="_xlnm.Print_Titles" localSheetId="8">'VL - détail VLH (S-Risk)'!$4:$6</definedName>
    <definedName name="_xlnm.Print_Titles" localSheetId="9">'VL - détail VLnappe'!$B:$D,'VL - détail VLnappe'!$2:$2</definedName>
    <definedName name="_xlnm.Print_Titles" localSheetId="6">'VL - synthèse'!$B:$D,'VL - synthèse'!$3:$3</definedName>
    <definedName name="ListePolluants" localSheetId="10">'[1]Liste Polluants'!$A$1:$A$72</definedName>
    <definedName name="ListePolluants">'[2]Liste Polluants'!$A$1:$A$72</definedName>
    <definedName name="Propriétés" localSheetId="1">#REF!</definedName>
    <definedName name="Propriétés" localSheetId="2">#REF!</definedName>
    <definedName name="Propriétés" localSheetId="10">#REF!</definedName>
    <definedName name="Propriétés" localSheetId="8">#REF!</definedName>
    <definedName name="Propriétés">#REF!</definedName>
    <definedName name="TypeAquifère" localSheetId="10">'[1]Valeurs Ksat'!$A$4:$A$10</definedName>
    <definedName name="TypeAquifère">'[2]Valeurs Ksat'!$A$4:$A$10</definedName>
    <definedName name="_xlnm.Print_Area" localSheetId="4">'méthodes d''analyse (3)'!#REF!</definedName>
    <definedName name="_xlnm.Print_Area" localSheetId="7">'VL - détail VLH (Risc Human)'!$B$2:$P$297</definedName>
    <definedName name="_xlnm.Print_Area" localSheetId="8">'VL - détail VLH (S-Risk)'!$B$4:$Q$175</definedName>
  </definedNames>
  <calcPr calcId="125725"/>
</workbook>
</file>

<file path=xl/calcChain.xml><?xml version="1.0" encoding="utf-8"?>
<calcChain xmlns="http://schemas.openxmlformats.org/spreadsheetml/2006/main">
  <c r="N6" i="16"/>
  <c r="K6"/>
  <c r="U395" i="15"/>
  <c r="N68" i="10"/>
  <c r="N69"/>
  <c r="K15" i="16" l="1"/>
  <c r="K14"/>
  <c r="N45"/>
  <c r="K45"/>
  <c r="U101" i="15" l="1"/>
  <c r="V33" l="1"/>
  <c r="U391" l="1"/>
  <c r="T391"/>
  <c r="U393"/>
  <c r="T393"/>
  <c r="U387"/>
  <c r="T387"/>
  <c r="U389"/>
  <c r="T389"/>
  <c r="U385"/>
  <c r="T385"/>
  <c r="U383"/>
  <c r="V381"/>
  <c r="T381"/>
  <c r="V379"/>
  <c r="T379"/>
  <c r="V343"/>
  <c r="T343"/>
  <c r="N280" i="10"/>
  <c r="N277"/>
  <c r="N271"/>
  <c r="N272"/>
  <c r="N270"/>
  <c r="N267"/>
  <c r="N265"/>
  <c r="N264"/>
  <c r="N220"/>
  <c r="K68" i="16" l="1"/>
  <c r="K62"/>
  <c r="K63"/>
  <c r="K64"/>
  <c r="K65"/>
  <c r="K66"/>
  <c r="K67"/>
  <c r="K69"/>
  <c r="K70"/>
  <c r="N57"/>
  <c r="K57"/>
  <c r="U91" i="15" l="1"/>
  <c r="T91"/>
  <c r="U85"/>
  <c r="U83"/>
  <c r="T85"/>
  <c r="T83"/>
  <c r="U97"/>
  <c r="T97"/>
  <c r="U93"/>
  <c r="T93"/>
  <c r="U145"/>
  <c r="T145"/>
  <c r="Z21"/>
  <c r="V21"/>
  <c r="U21" s="1"/>
  <c r="T21"/>
  <c r="Z17"/>
  <c r="U17"/>
  <c r="T17"/>
  <c r="AC331"/>
  <c r="Z331"/>
  <c r="AC223"/>
  <c r="Z223"/>
  <c r="AC301"/>
  <c r="Z301"/>
  <c r="Z71"/>
  <c r="U71"/>
  <c r="T71"/>
  <c r="Z69"/>
  <c r="Z67"/>
  <c r="Z65"/>
  <c r="Z13"/>
  <c r="T13"/>
  <c r="U143"/>
  <c r="T143"/>
  <c r="AC219"/>
  <c r="Z219"/>
  <c r="AC109"/>
  <c r="Z109"/>
  <c r="U109"/>
  <c r="Z121"/>
  <c r="U121"/>
  <c r="T121"/>
  <c r="T125"/>
  <c r="N8" i="16" l="1"/>
  <c r="N9"/>
  <c r="N11"/>
  <c r="N32"/>
  <c r="N33"/>
  <c r="N34"/>
  <c r="N35"/>
  <c r="N43"/>
  <c r="N44"/>
  <c r="N50"/>
  <c r="N51"/>
  <c r="N53"/>
  <c r="N56"/>
  <c r="K8"/>
  <c r="K9"/>
  <c r="K11"/>
  <c r="K32"/>
  <c r="K33"/>
  <c r="K34"/>
  <c r="K35"/>
  <c r="K43"/>
  <c r="K44"/>
  <c r="K50"/>
  <c r="K51"/>
  <c r="K53"/>
  <c r="K56"/>
  <c r="N287" i="10" l="1"/>
  <c r="N24"/>
  <c r="N23"/>
  <c r="M313" i="15" l="1"/>
  <c r="M99"/>
  <c r="U141"/>
  <c r="V141" s="1"/>
  <c r="O141"/>
  <c r="M141"/>
  <c r="T141"/>
  <c r="O203"/>
  <c r="M203"/>
  <c r="V397"/>
  <c r="T397"/>
  <c r="M397"/>
  <c r="M55"/>
  <c r="N26" i="16"/>
  <c r="N28"/>
  <c r="K26"/>
  <c r="K28"/>
  <c r="M31" i="15" l="1"/>
  <c r="T31"/>
  <c r="M29"/>
  <c r="N15" i="16" l="1"/>
  <c r="N16"/>
  <c r="N17"/>
  <c r="N18"/>
  <c r="N19"/>
  <c r="N20"/>
  <c r="N21"/>
  <c r="K16"/>
  <c r="K17"/>
  <c r="K18"/>
  <c r="K19"/>
  <c r="K20"/>
  <c r="K21"/>
  <c r="N62" l="1"/>
  <c r="N63"/>
  <c r="N64"/>
  <c r="N65"/>
  <c r="N66"/>
  <c r="N67"/>
  <c r="N68"/>
  <c r="N69"/>
  <c r="N70"/>
  <c r="N49"/>
  <c r="N46"/>
  <c r="N5"/>
  <c r="N7"/>
  <c r="N41"/>
  <c r="N42"/>
  <c r="N54"/>
  <c r="N10"/>
  <c r="N14"/>
  <c r="K49"/>
  <c r="K46"/>
  <c r="K5"/>
  <c r="K7"/>
  <c r="K41"/>
  <c r="K42"/>
  <c r="K54"/>
  <c r="K10"/>
  <c r="N24" l="1"/>
  <c r="N25"/>
  <c r="N40"/>
  <c r="N38"/>
  <c r="N39"/>
  <c r="N37"/>
  <c r="N36"/>
  <c r="N31"/>
  <c r="N55"/>
  <c r="N22"/>
  <c r="N30"/>
  <c r="N52"/>
  <c r="N29"/>
  <c r="N27"/>
  <c r="N13"/>
  <c r="N58"/>
  <c r="N47"/>
  <c r="N48"/>
  <c r="N59"/>
  <c r="N60"/>
  <c r="N61"/>
  <c r="N23"/>
  <c r="K24"/>
  <c r="K25"/>
  <c r="K40"/>
  <c r="K38"/>
  <c r="K39"/>
  <c r="K37"/>
  <c r="K36"/>
  <c r="K31"/>
  <c r="K55"/>
  <c r="K22"/>
  <c r="K30"/>
  <c r="K52"/>
  <c r="K29"/>
  <c r="K27"/>
  <c r="K13"/>
  <c r="K58"/>
  <c r="K47"/>
  <c r="K48"/>
  <c r="K59"/>
  <c r="K60"/>
  <c r="K61"/>
  <c r="K23"/>
  <c r="E7" i="10"/>
  <c r="E9"/>
  <c r="E13"/>
  <c r="V369" i="15" l="1"/>
  <c r="T369"/>
  <c r="V367"/>
  <c r="T367"/>
  <c r="V365"/>
  <c r="T365"/>
  <c r="V363"/>
  <c r="T363"/>
  <c r="V361"/>
  <c r="T361"/>
  <c r="V359"/>
  <c r="T359"/>
  <c r="V357"/>
  <c r="T357"/>
  <c r="V355"/>
  <c r="T355"/>
  <c r="V353"/>
  <c r="T353"/>
  <c r="V351"/>
  <c r="T351"/>
  <c r="V349"/>
  <c r="T349"/>
  <c r="V347"/>
  <c r="T347"/>
  <c r="U345"/>
  <c r="T345"/>
  <c r="V341"/>
  <c r="T341"/>
  <c r="V339"/>
  <c r="T339"/>
  <c r="V337"/>
  <c r="T337"/>
  <c r="V335"/>
  <c r="T335"/>
  <c r="V333"/>
  <c r="T333"/>
  <c r="V331"/>
  <c r="T331"/>
  <c r="U329"/>
  <c r="T329"/>
  <c r="V327"/>
  <c r="T327"/>
  <c r="V323"/>
  <c r="T323"/>
  <c r="V321"/>
  <c r="T321"/>
  <c r="V319"/>
  <c r="T319"/>
  <c r="AH317"/>
  <c r="AG317"/>
  <c r="V317"/>
  <c r="T317"/>
  <c r="V315"/>
  <c r="T315"/>
  <c r="V313"/>
  <c r="T313"/>
  <c r="V311"/>
  <c r="T311"/>
  <c r="V309"/>
  <c r="T309"/>
  <c r="V307"/>
  <c r="T307"/>
  <c r="V305"/>
  <c r="T305"/>
  <c r="AH303"/>
  <c r="AG303"/>
  <c r="V303"/>
  <c r="T303"/>
  <c r="V301"/>
  <c r="T301"/>
  <c r="AG299"/>
  <c r="V299"/>
  <c r="T299"/>
  <c r="AG297"/>
  <c r="V297"/>
  <c r="T297"/>
  <c r="V295"/>
  <c r="T295"/>
  <c r="V293"/>
  <c r="T293"/>
  <c r="V291"/>
  <c r="T291"/>
  <c r="V287"/>
  <c r="T287"/>
  <c r="V285"/>
  <c r="T285"/>
  <c r="V283"/>
  <c r="T283"/>
  <c r="V281"/>
  <c r="T281"/>
  <c r="V279"/>
  <c r="T279"/>
  <c r="V277"/>
  <c r="T277"/>
  <c r="V275"/>
  <c r="T275"/>
  <c r="V273"/>
  <c r="T273"/>
  <c r="V271"/>
  <c r="T271"/>
  <c r="V269"/>
  <c r="T269"/>
  <c r="V267"/>
  <c r="T267"/>
  <c r="V265"/>
  <c r="T265"/>
  <c r="V263"/>
  <c r="T263"/>
  <c r="V261"/>
  <c r="T261"/>
  <c r="V259"/>
  <c r="V257"/>
  <c r="T257"/>
  <c r="V255"/>
  <c r="T255"/>
  <c r="T253"/>
  <c r="V251"/>
  <c r="T251"/>
  <c r="V249"/>
  <c r="V247"/>
  <c r="T247"/>
  <c r="V245"/>
  <c r="T245"/>
  <c r="V243"/>
  <c r="T243"/>
  <c r="V241"/>
  <c r="T241"/>
  <c r="V239"/>
  <c r="T239"/>
  <c r="V237"/>
  <c r="T237"/>
  <c r="V235"/>
  <c r="T235"/>
  <c r="V233"/>
  <c r="T233"/>
  <c r="AG231"/>
  <c r="V231"/>
  <c r="T231"/>
  <c r="AG229"/>
  <c r="V229"/>
  <c r="T229"/>
  <c r="AH227"/>
  <c r="AG227"/>
  <c r="V227"/>
  <c r="T227"/>
  <c r="AH225"/>
  <c r="AG225"/>
  <c r="V225"/>
  <c r="T225"/>
  <c r="V223"/>
  <c r="T223"/>
  <c r="AH221"/>
  <c r="AG221"/>
  <c r="V221"/>
  <c r="T221"/>
  <c r="V219"/>
  <c r="T219"/>
  <c r="V215"/>
  <c r="AH213"/>
  <c r="AG213"/>
  <c r="V213"/>
  <c r="T213"/>
  <c r="AG211"/>
  <c r="V211"/>
  <c r="T211"/>
  <c r="AG209"/>
  <c r="V209"/>
  <c r="T209"/>
  <c r="AH207"/>
  <c r="AG207"/>
  <c r="V207"/>
  <c r="T207"/>
  <c r="V205"/>
  <c r="T205"/>
  <c r="V203"/>
  <c r="T203"/>
  <c r="V199"/>
  <c r="T199"/>
  <c r="V197"/>
  <c r="T197"/>
  <c r="V195"/>
  <c r="V193"/>
  <c r="V191"/>
  <c r="T191"/>
  <c r="V189"/>
  <c r="T189"/>
  <c r="V187"/>
  <c r="T187"/>
  <c r="V185"/>
  <c r="V181"/>
  <c r="V179"/>
  <c r="V177"/>
  <c r="V175"/>
  <c r="V173"/>
  <c r="T173"/>
  <c r="AH171"/>
  <c r="AG171"/>
  <c r="V171"/>
  <c r="T171"/>
  <c r="V169"/>
  <c r="V165"/>
  <c r="T165"/>
  <c r="V163"/>
  <c r="T163"/>
  <c r="V161"/>
  <c r="T161"/>
  <c r="V159"/>
  <c r="T159"/>
  <c r="AG157"/>
  <c r="V157"/>
  <c r="T157"/>
  <c r="AG155"/>
  <c r="V155"/>
  <c r="T155"/>
  <c r="AF153"/>
  <c r="V153"/>
  <c r="T153"/>
  <c r="V151"/>
  <c r="T151"/>
  <c r="V149"/>
  <c r="T149"/>
  <c r="V147"/>
  <c r="T147"/>
  <c r="V139"/>
  <c r="T139"/>
  <c r="V137"/>
  <c r="T137"/>
  <c r="AH135"/>
  <c r="U135"/>
  <c r="T135"/>
  <c r="U131"/>
  <c r="T131"/>
  <c r="V129"/>
  <c r="T129"/>
  <c r="V127"/>
  <c r="T127"/>
  <c r="U125"/>
  <c r="AG117"/>
  <c r="V117"/>
  <c r="T117"/>
  <c r="AG115"/>
  <c r="V115"/>
  <c r="T115"/>
  <c r="AH113"/>
  <c r="AG113"/>
  <c r="V113"/>
  <c r="T113"/>
  <c r="AH111"/>
  <c r="AG111"/>
  <c r="V111"/>
  <c r="T111"/>
  <c r="T109"/>
  <c r="V107"/>
  <c r="T107"/>
  <c r="V105"/>
  <c r="T105"/>
  <c r="V103"/>
  <c r="T103"/>
  <c r="T101"/>
  <c r="V99"/>
  <c r="T99"/>
  <c r="V95"/>
  <c r="T95"/>
  <c r="AH89"/>
  <c r="AG89"/>
  <c r="V89"/>
  <c r="T89"/>
  <c r="V87"/>
  <c r="T87"/>
  <c r="V81"/>
  <c r="T81"/>
  <c r="V79"/>
  <c r="T79"/>
  <c r="V77"/>
  <c r="T77"/>
  <c r="V75"/>
  <c r="T75"/>
  <c r="V73"/>
  <c r="T73"/>
  <c r="V69"/>
  <c r="T69"/>
  <c r="V67"/>
  <c r="T67"/>
  <c r="V65"/>
  <c r="T65"/>
  <c r="AH63"/>
  <c r="AG63"/>
  <c r="V63"/>
  <c r="T63"/>
  <c r="V61"/>
  <c r="T61"/>
  <c r="V59"/>
  <c r="T59"/>
  <c r="V57"/>
  <c r="T57"/>
  <c r="V55"/>
  <c r="T55"/>
  <c r="V53"/>
  <c r="T53"/>
  <c r="V51"/>
  <c r="T51"/>
  <c r="AH49"/>
  <c r="AG49"/>
  <c r="V49"/>
  <c r="T49"/>
  <c r="V45"/>
  <c r="T45"/>
  <c r="V43"/>
  <c r="T43"/>
  <c r="V41"/>
  <c r="T41"/>
  <c r="V39"/>
  <c r="T39"/>
  <c r="V37"/>
  <c r="T37"/>
  <c r="V35"/>
  <c r="T35"/>
  <c r="T33"/>
  <c r="V31"/>
  <c r="V29"/>
  <c r="T29"/>
  <c r="AH27"/>
  <c r="AG27"/>
  <c r="U27"/>
  <c r="T27"/>
  <c r="AH11"/>
  <c r="V131" l="1"/>
  <c r="V27"/>
  <c r="V125"/>
  <c r="V135"/>
  <c r="V329"/>
  <c r="V345"/>
  <c r="P122" i="12"/>
  <c r="P88"/>
  <c r="P248" i="11"/>
  <c r="I247" i="10" s="1"/>
  <c r="P245" i="11"/>
  <c r="O245"/>
  <c r="P244"/>
  <c r="O244"/>
  <c r="P233"/>
  <c r="O233"/>
  <c r="P232"/>
  <c r="O232"/>
  <c r="P231"/>
  <c r="O231"/>
  <c r="P230"/>
  <c r="O230"/>
  <c r="P229"/>
  <c r="O229"/>
  <c r="P228"/>
  <c r="O228"/>
  <c r="P227"/>
  <c r="O227"/>
  <c r="P226"/>
  <c r="O226"/>
  <c r="P225"/>
  <c r="O225"/>
  <c r="P224"/>
  <c r="O224"/>
  <c r="P223"/>
  <c r="O223"/>
  <c r="P222"/>
  <c r="O222"/>
  <c r="P219"/>
  <c r="O219"/>
  <c r="P218"/>
  <c r="O218"/>
  <c r="P217"/>
  <c r="O217"/>
  <c r="P216"/>
  <c r="O216"/>
  <c r="P215"/>
  <c r="O215"/>
  <c r="P213"/>
  <c r="O213"/>
  <c r="P212"/>
  <c r="O212"/>
  <c r="P211"/>
  <c r="O211"/>
  <c r="P209"/>
  <c r="O209"/>
  <c r="P208"/>
  <c r="O208"/>
  <c r="P207"/>
  <c r="O207"/>
  <c r="P206"/>
  <c r="O206"/>
  <c r="P205"/>
  <c r="O205"/>
  <c r="P204"/>
  <c r="O204"/>
  <c r="P203"/>
  <c r="O203"/>
  <c r="P202"/>
  <c r="O202"/>
  <c r="P201"/>
  <c r="O201"/>
  <c r="P200"/>
  <c r="O200"/>
  <c r="P199"/>
  <c r="O199"/>
  <c r="P198"/>
  <c r="O198"/>
  <c r="P197"/>
  <c r="O197"/>
  <c r="P196"/>
  <c r="O196"/>
  <c r="P195"/>
  <c r="O195"/>
  <c r="P194"/>
  <c r="O194"/>
  <c r="P193"/>
  <c r="O193"/>
  <c r="P191"/>
  <c r="O191"/>
  <c r="P190"/>
  <c r="O190"/>
  <c r="P189"/>
  <c r="O189"/>
  <c r="P188"/>
  <c r="O188"/>
  <c r="P187"/>
  <c r="O187"/>
  <c r="P186"/>
  <c r="O186"/>
  <c r="P184"/>
  <c r="O184"/>
  <c r="P183"/>
  <c r="O183"/>
  <c r="P181"/>
  <c r="O181"/>
  <c r="P180"/>
  <c r="O180"/>
  <c r="P179"/>
  <c r="O179"/>
  <c r="P178"/>
  <c r="O178"/>
  <c r="P177"/>
  <c r="O177"/>
  <c r="P175"/>
  <c r="O175"/>
  <c r="P174"/>
  <c r="O174"/>
  <c r="P172"/>
  <c r="O172"/>
  <c r="P168"/>
  <c r="O168"/>
  <c r="P167"/>
  <c r="O167"/>
  <c r="P166"/>
  <c r="O166"/>
  <c r="P165"/>
  <c r="O165"/>
  <c r="P163"/>
  <c r="O163"/>
  <c r="P161"/>
  <c r="O161"/>
  <c r="P160"/>
  <c r="O160"/>
  <c r="P159"/>
  <c r="O159"/>
  <c r="P144"/>
  <c r="O144"/>
  <c r="P141"/>
  <c r="O141"/>
  <c r="P139"/>
  <c r="O139"/>
  <c r="P138"/>
  <c r="O138"/>
  <c r="P136"/>
  <c r="O136"/>
  <c r="P130"/>
  <c r="O130"/>
  <c r="P124"/>
  <c r="O124"/>
  <c r="P122"/>
  <c r="O122"/>
  <c r="P121"/>
  <c r="O121"/>
  <c r="P119"/>
  <c r="O119"/>
  <c r="P118"/>
  <c r="O118"/>
  <c r="P116"/>
  <c r="O116"/>
  <c r="P115"/>
  <c r="O115"/>
  <c r="P112"/>
  <c r="O112"/>
  <c r="P111"/>
  <c r="O111"/>
  <c r="P110"/>
  <c r="O110"/>
  <c r="P99"/>
  <c r="O99"/>
  <c r="P98"/>
  <c r="O98"/>
  <c r="P93"/>
  <c r="O93"/>
  <c r="P92"/>
  <c r="O92"/>
  <c r="P91"/>
  <c r="O91"/>
  <c r="P90"/>
  <c r="O90"/>
  <c r="P89"/>
  <c r="O89"/>
  <c r="P88"/>
  <c r="O88"/>
  <c r="P87"/>
  <c r="O87"/>
  <c r="P86"/>
  <c r="O86"/>
  <c r="P85"/>
  <c r="O85"/>
  <c r="P84"/>
  <c r="O84"/>
  <c r="P75"/>
  <c r="O75"/>
  <c r="P73"/>
  <c r="O73"/>
  <c r="P72"/>
  <c r="O72"/>
  <c r="P71"/>
  <c r="O71"/>
  <c r="P70"/>
  <c r="O70"/>
  <c r="P69"/>
  <c r="O69"/>
  <c r="P68"/>
  <c r="O68"/>
  <c r="P67"/>
  <c r="O67"/>
  <c r="P66"/>
  <c r="O66"/>
  <c r="P65"/>
  <c r="O65"/>
  <c r="P64"/>
  <c r="O64"/>
  <c r="P63"/>
  <c r="O63"/>
  <c r="P62"/>
  <c r="O62"/>
  <c r="P61"/>
  <c r="O61"/>
  <c r="P59"/>
  <c r="O59"/>
  <c r="P58"/>
  <c r="O58"/>
  <c r="P57"/>
  <c r="O57"/>
  <c r="P56"/>
  <c r="O56"/>
  <c r="P55"/>
  <c r="O55"/>
  <c r="P54"/>
  <c r="O54"/>
  <c r="P53"/>
  <c r="O53"/>
  <c r="P52"/>
  <c r="O52"/>
  <c r="P50"/>
  <c r="O50"/>
  <c r="P47"/>
  <c r="O47"/>
  <c r="P46"/>
  <c r="O46"/>
  <c r="P40"/>
  <c r="O40"/>
  <c r="P37"/>
  <c r="O37"/>
  <c r="P36"/>
  <c r="O36"/>
  <c r="P35"/>
  <c r="O35"/>
  <c r="P33"/>
  <c r="O33"/>
  <c r="P32"/>
  <c r="O32"/>
  <c r="P31"/>
  <c r="O31"/>
  <c r="P30"/>
  <c r="O30"/>
  <c r="P29"/>
  <c r="O29"/>
  <c r="P28"/>
  <c r="O28"/>
  <c r="P27"/>
  <c r="O27"/>
  <c r="P26"/>
  <c r="O26"/>
  <c r="P25"/>
  <c r="O25"/>
  <c r="P24"/>
  <c r="O24"/>
  <c r="P23"/>
  <c r="O23"/>
  <c r="P22"/>
  <c r="O22"/>
  <c r="P21"/>
  <c r="O21"/>
  <c r="P19"/>
  <c r="O19"/>
  <c r="P18"/>
  <c r="O18"/>
  <c r="P17"/>
  <c r="O17"/>
  <c r="P16"/>
  <c r="O16"/>
  <c r="P15"/>
  <c r="O15"/>
  <c r="P14"/>
  <c r="O14"/>
  <c r="P13"/>
  <c r="O13"/>
  <c r="P12"/>
  <c r="O12"/>
  <c r="P11"/>
  <c r="O11"/>
  <c r="P10"/>
  <c r="O10"/>
  <c r="P9"/>
  <c r="O9"/>
  <c r="P8"/>
  <c r="O8"/>
  <c r="P7"/>
  <c r="O7"/>
  <c r="P6"/>
  <c r="O6"/>
  <c r="P5"/>
  <c r="O5"/>
  <c r="N259" i="10"/>
  <c r="J247"/>
  <c r="H247"/>
  <c r="G247"/>
  <c r="E247"/>
  <c r="J244"/>
  <c r="I244"/>
  <c r="H244"/>
  <c r="G244"/>
  <c r="E244"/>
  <c r="J243"/>
  <c r="I243"/>
  <c r="H243"/>
  <c r="G243"/>
  <c r="E243"/>
  <c r="I232"/>
  <c r="H232"/>
  <c r="G232"/>
  <c r="E232"/>
  <c r="I231"/>
  <c r="H231"/>
  <c r="G231"/>
  <c r="E231"/>
  <c r="I230"/>
  <c r="H230"/>
  <c r="G230"/>
  <c r="E230"/>
  <c r="I229"/>
  <c r="H229"/>
  <c r="G229"/>
  <c r="E229"/>
  <c r="I228"/>
  <c r="H228"/>
  <c r="G228"/>
  <c r="E228"/>
  <c r="I227"/>
  <c r="H227"/>
  <c r="G227"/>
  <c r="E227"/>
  <c r="I226"/>
  <c r="H226"/>
  <c r="G226"/>
  <c r="E226"/>
  <c r="I225"/>
  <c r="H225"/>
  <c r="G225"/>
  <c r="E225"/>
  <c r="I224"/>
  <c r="H224"/>
  <c r="G224"/>
  <c r="E224"/>
  <c r="I223"/>
  <c r="H223"/>
  <c r="G223"/>
  <c r="E223"/>
  <c r="I222"/>
  <c r="H222"/>
  <c r="G222"/>
  <c r="E222"/>
  <c r="J221"/>
  <c r="I221"/>
  <c r="H221"/>
  <c r="G221"/>
  <c r="E221"/>
  <c r="J219"/>
  <c r="J218"/>
  <c r="I218"/>
  <c r="H218"/>
  <c r="G218"/>
  <c r="E218"/>
  <c r="J217"/>
  <c r="I217"/>
  <c r="H217"/>
  <c r="G217"/>
  <c r="E217"/>
  <c r="J216"/>
  <c r="I216"/>
  <c r="H216"/>
  <c r="G216"/>
  <c r="E216"/>
  <c r="J215"/>
  <c r="I215"/>
  <c r="H215"/>
  <c r="G215"/>
  <c r="E215"/>
  <c r="J214"/>
  <c r="I214"/>
  <c r="H214"/>
  <c r="G214"/>
  <c r="E214"/>
  <c r="J213"/>
  <c r="J212"/>
  <c r="J211"/>
  <c r="I211"/>
  <c r="H211"/>
  <c r="G211"/>
  <c r="E211"/>
  <c r="J210"/>
  <c r="I210"/>
  <c r="H210"/>
  <c r="G210"/>
  <c r="E210"/>
  <c r="J209"/>
  <c r="J208"/>
  <c r="I208"/>
  <c r="H208"/>
  <c r="G208"/>
  <c r="E208"/>
  <c r="I207"/>
  <c r="H207"/>
  <c r="G207"/>
  <c r="E207"/>
  <c r="J206"/>
  <c r="I206"/>
  <c r="H206"/>
  <c r="G206"/>
  <c r="E206"/>
  <c r="J205"/>
  <c r="I205"/>
  <c r="H205"/>
  <c r="G205"/>
  <c r="E205"/>
  <c r="J204"/>
  <c r="I202"/>
  <c r="H202"/>
  <c r="G202"/>
  <c r="E202"/>
  <c r="I201"/>
  <c r="H201"/>
  <c r="G201"/>
  <c r="E201"/>
  <c r="I200"/>
  <c r="H200"/>
  <c r="G200"/>
  <c r="E200"/>
  <c r="I199"/>
  <c r="H199"/>
  <c r="G199"/>
  <c r="E199"/>
  <c r="I198"/>
  <c r="H198"/>
  <c r="G198"/>
  <c r="E198"/>
  <c r="I196"/>
  <c r="H196"/>
  <c r="G196"/>
  <c r="E196"/>
  <c r="I195"/>
  <c r="H195"/>
  <c r="G195"/>
  <c r="E195"/>
  <c r="I194"/>
  <c r="H194"/>
  <c r="G194"/>
  <c r="E194"/>
  <c r="I193"/>
  <c r="H193"/>
  <c r="G193"/>
  <c r="E193"/>
  <c r="I192"/>
  <c r="H192"/>
  <c r="G192"/>
  <c r="E192"/>
  <c r="I190"/>
  <c r="H190"/>
  <c r="G190"/>
  <c r="E190"/>
  <c r="I189"/>
  <c r="H189"/>
  <c r="G189"/>
  <c r="E189"/>
  <c r="I188"/>
  <c r="H188"/>
  <c r="G188"/>
  <c r="E188"/>
  <c r="I187"/>
  <c r="H187"/>
  <c r="G187"/>
  <c r="E187"/>
  <c r="I185"/>
  <c r="H185"/>
  <c r="G185"/>
  <c r="E185"/>
  <c r="I183"/>
  <c r="H183"/>
  <c r="G183"/>
  <c r="E183"/>
  <c r="I182"/>
  <c r="H182"/>
  <c r="G182"/>
  <c r="E182"/>
  <c r="I180"/>
  <c r="H180"/>
  <c r="G180"/>
  <c r="E180"/>
  <c r="I179"/>
  <c r="H179"/>
  <c r="G179"/>
  <c r="E179"/>
  <c r="I178"/>
  <c r="H178"/>
  <c r="G178"/>
  <c r="E178"/>
  <c r="I177"/>
  <c r="H177"/>
  <c r="G177"/>
  <c r="E177"/>
  <c r="I176"/>
  <c r="H176"/>
  <c r="G176"/>
  <c r="E176"/>
  <c r="I174"/>
  <c r="H174"/>
  <c r="G174"/>
  <c r="E174"/>
  <c r="I173"/>
  <c r="H173"/>
  <c r="G173"/>
  <c r="E173"/>
  <c r="I171"/>
  <c r="H171"/>
  <c r="G171"/>
  <c r="E171"/>
  <c r="I167"/>
  <c r="H167"/>
  <c r="G167"/>
  <c r="E167"/>
  <c r="I166"/>
  <c r="H166"/>
  <c r="G166"/>
  <c r="E166"/>
  <c r="I165"/>
  <c r="H165"/>
  <c r="G165"/>
  <c r="E165"/>
  <c r="I164"/>
  <c r="H164"/>
  <c r="G164"/>
  <c r="E164"/>
  <c r="I162"/>
  <c r="H162"/>
  <c r="G162"/>
  <c r="E162"/>
  <c r="I160"/>
  <c r="H160"/>
  <c r="G160"/>
  <c r="E160"/>
  <c r="I159"/>
  <c r="H159"/>
  <c r="G159"/>
  <c r="E159"/>
  <c r="I158"/>
  <c r="H158"/>
  <c r="G158"/>
  <c r="E158"/>
  <c r="J157"/>
  <c r="J156"/>
  <c r="J155"/>
  <c r="J152"/>
  <c r="J151"/>
  <c r="J150"/>
  <c r="J149"/>
  <c r="J148"/>
  <c r="J147"/>
  <c r="J146"/>
  <c r="J145"/>
  <c r="J144"/>
  <c r="I143"/>
  <c r="H143"/>
  <c r="G143"/>
  <c r="E143"/>
  <c r="J142"/>
  <c r="J141"/>
  <c r="J140"/>
  <c r="I140"/>
  <c r="H140"/>
  <c r="G140"/>
  <c r="E140"/>
  <c r="J139"/>
  <c r="J138"/>
  <c r="J137"/>
  <c r="I137"/>
  <c r="H137"/>
  <c r="G137"/>
  <c r="E137"/>
  <c r="J133"/>
  <c r="J131"/>
  <c r="N130"/>
  <c r="J129"/>
  <c r="N137" l="1"/>
  <c r="N159"/>
  <c r="N163"/>
  <c r="N167"/>
  <c r="N171"/>
  <c r="N175"/>
  <c r="N179"/>
  <c r="N183"/>
  <c r="N187"/>
  <c r="N191"/>
  <c r="N195"/>
  <c r="N199"/>
  <c r="N203"/>
  <c r="N207"/>
  <c r="N211"/>
  <c r="N215"/>
  <c r="N219"/>
  <c r="N224"/>
  <c r="N228"/>
  <c r="N232"/>
  <c r="N236"/>
  <c r="N240"/>
  <c r="N133"/>
  <c r="N143"/>
  <c r="N151"/>
  <c r="N157"/>
  <c r="N161"/>
  <c r="N165"/>
  <c r="N169"/>
  <c r="N173"/>
  <c r="N181"/>
  <c r="N185"/>
  <c r="N189"/>
  <c r="N193"/>
  <c r="N197"/>
  <c r="N201"/>
  <c r="N209"/>
  <c r="N213"/>
  <c r="N217"/>
  <c r="N226"/>
  <c r="N230"/>
  <c r="N234"/>
  <c r="N238"/>
  <c r="N244"/>
  <c r="N235"/>
  <c r="N239"/>
  <c r="N135"/>
  <c r="N140"/>
  <c r="N158"/>
  <c r="N162"/>
  <c r="N166"/>
  <c r="N170"/>
  <c r="N174"/>
  <c r="N178"/>
  <c r="N182"/>
  <c r="N186"/>
  <c r="N190"/>
  <c r="N194"/>
  <c r="N198"/>
  <c r="N202"/>
  <c r="N206"/>
  <c r="N210"/>
  <c r="N214"/>
  <c r="N218"/>
  <c r="N223"/>
  <c r="N227"/>
  <c r="N231"/>
  <c r="N177"/>
  <c r="N205"/>
  <c r="N222"/>
  <c r="N131"/>
  <c r="N138"/>
  <c r="N150"/>
  <c r="N160"/>
  <c r="N164"/>
  <c r="N168"/>
  <c r="N172"/>
  <c r="N176"/>
  <c r="N180"/>
  <c r="N184"/>
  <c r="N188"/>
  <c r="N192"/>
  <c r="N196"/>
  <c r="N200"/>
  <c r="N204"/>
  <c r="N208"/>
  <c r="N212"/>
  <c r="N216"/>
  <c r="N221"/>
  <c r="N225"/>
  <c r="N229"/>
  <c r="N233"/>
  <c r="N237"/>
  <c r="N243"/>
  <c r="N247"/>
  <c r="I129"/>
  <c r="H129"/>
  <c r="G129"/>
  <c r="E129"/>
  <c r="J128"/>
  <c r="J127"/>
  <c r="J126"/>
  <c r="J125"/>
  <c r="J124"/>
  <c r="J123"/>
  <c r="I123"/>
  <c r="H123"/>
  <c r="G123"/>
  <c r="E123"/>
  <c r="J122"/>
  <c r="J121"/>
  <c r="I121"/>
  <c r="H121"/>
  <c r="G121"/>
  <c r="E121"/>
  <c r="J120"/>
  <c r="I120"/>
  <c r="H120"/>
  <c r="G120"/>
  <c r="E120"/>
  <c r="J119"/>
  <c r="J118"/>
  <c r="I118"/>
  <c r="H118"/>
  <c r="G118"/>
  <c r="E118"/>
  <c r="J117"/>
  <c r="J116"/>
  <c r="J115"/>
  <c r="I115"/>
  <c r="H115"/>
  <c r="G115"/>
  <c r="E115"/>
  <c r="J114"/>
  <c r="I114"/>
  <c r="H114"/>
  <c r="G114"/>
  <c r="E114"/>
  <c r="J113"/>
  <c r="J112"/>
  <c r="J111"/>
  <c r="I111"/>
  <c r="H111"/>
  <c r="G111"/>
  <c r="E111"/>
  <c r="J110"/>
  <c r="I110"/>
  <c r="H110"/>
  <c r="G110"/>
  <c r="E110"/>
  <c r="J109"/>
  <c r="I109"/>
  <c r="H109"/>
  <c r="G109"/>
  <c r="E109"/>
  <c r="J108"/>
  <c r="J107"/>
  <c r="J105"/>
  <c r="J104"/>
  <c r="J103"/>
  <c r="J102"/>
  <c r="J101"/>
  <c r="J100"/>
  <c r="J99"/>
  <c r="J98"/>
  <c r="I98"/>
  <c r="H98"/>
  <c r="G98"/>
  <c r="E98"/>
  <c r="J97"/>
  <c r="I97"/>
  <c r="H97"/>
  <c r="G97"/>
  <c r="E97"/>
  <c r="J96"/>
  <c r="J95"/>
  <c r="J94"/>
  <c r="J93"/>
  <c r="J92"/>
  <c r="I92"/>
  <c r="H92"/>
  <c r="G92"/>
  <c r="E92"/>
  <c r="J91"/>
  <c r="I91"/>
  <c r="H91"/>
  <c r="G91"/>
  <c r="E91"/>
  <c r="J90"/>
  <c r="I90"/>
  <c r="H90"/>
  <c r="G90"/>
  <c r="E90"/>
  <c r="J89"/>
  <c r="I89"/>
  <c r="H89"/>
  <c r="G89"/>
  <c r="E89"/>
  <c r="J88"/>
  <c r="I88"/>
  <c r="H88"/>
  <c r="G88"/>
  <c r="E88"/>
  <c r="I87"/>
  <c r="H87"/>
  <c r="G87"/>
  <c r="E87"/>
  <c r="J86"/>
  <c r="I86"/>
  <c r="H86"/>
  <c r="G86"/>
  <c r="E86"/>
  <c r="J85"/>
  <c r="I85"/>
  <c r="H85"/>
  <c r="G85"/>
  <c r="E85"/>
  <c r="J84"/>
  <c r="I84"/>
  <c r="H84"/>
  <c r="G84"/>
  <c r="E84"/>
  <c r="J83"/>
  <c r="I83"/>
  <c r="H83"/>
  <c r="G83"/>
  <c r="E83"/>
  <c r="J82"/>
  <c r="J81"/>
  <c r="J79"/>
  <c r="J77"/>
  <c r="J75"/>
  <c r="J73"/>
  <c r="I72"/>
  <c r="H72"/>
  <c r="G72"/>
  <c r="E72"/>
  <c r="J71"/>
  <c r="I71"/>
  <c r="H71"/>
  <c r="G71"/>
  <c r="E71"/>
  <c r="N70" s="1"/>
  <c r="J70"/>
  <c r="I70"/>
  <c r="H70"/>
  <c r="G70"/>
  <c r="E70"/>
  <c r="J69"/>
  <c r="J68"/>
  <c r="I68"/>
  <c r="H68"/>
  <c r="G68"/>
  <c r="E68"/>
  <c r="J67"/>
  <c r="I67"/>
  <c r="H67"/>
  <c r="G67"/>
  <c r="E67"/>
  <c r="J66"/>
  <c r="I66"/>
  <c r="H66"/>
  <c r="G66"/>
  <c r="E66"/>
  <c r="J65"/>
  <c r="I65"/>
  <c r="H65"/>
  <c r="G65"/>
  <c r="E65"/>
  <c r="J64"/>
  <c r="I64"/>
  <c r="H64"/>
  <c r="G64"/>
  <c r="E64"/>
  <c r="J63"/>
  <c r="J62"/>
  <c r="N62" s="1"/>
  <c r="I62"/>
  <c r="H62"/>
  <c r="G62"/>
  <c r="E62"/>
  <c r="J61"/>
  <c r="I61"/>
  <c r="H61"/>
  <c r="G61"/>
  <c r="E61"/>
  <c r="J60"/>
  <c r="I60"/>
  <c r="H60"/>
  <c r="G60"/>
  <c r="E60"/>
  <c r="J59"/>
  <c r="J58"/>
  <c r="I58"/>
  <c r="H58"/>
  <c r="G58"/>
  <c r="E58"/>
  <c r="J57"/>
  <c r="I57"/>
  <c r="H57"/>
  <c r="G57"/>
  <c r="E57"/>
  <c r="J56"/>
  <c r="J55"/>
  <c r="I55"/>
  <c r="H55"/>
  <c r="G55"/>
  <c r="E55"/>
  <c r="J54"/>
  <c r="I54"/>
  <c r="H54"/>
  <c r="G54"/>
  <c r="E54"/>
  <c r="J53"/>
  <c r="I53"/>
  <c r="H53"/>
  <c r="G53"/>
  <c r="E53"/>
  <c r="J52"/>
  <c r="J51"/>
  <c r="J49"/>
  <c r="N49" s="1"/>
  <c r="J46"/>
  <c r="J45"/>
  <c r="J39"/>
  <c r="J36"/>
  <c r="J35"/>
  <c r="I35"/>
  <c r="H35"/>
  <c r="G35"/>
  <c r="E35"/>
  <c r="J34"/>
  <c r="I34"/>
  <c r="H34"/>
  <c r="G34"/>
  <c r="E34"/>
  <c r="J33"/>
  <c r="J32"/>
  <c r="I32"/>
  <c r="H32"/>
  <c r="G32"/>
  <c r="E32"/>
  <c r="J30"/>
  <c r="J29"/>
  <c r="J28"/>
  <c r="N28" s="1"/>
  <c r="J27"/>
  <c r="J26"/>
  <c r="J25"/>
  <c r="I25"/>
  <c r="H25"/>
  <c r="G25"/>
  <c r="E25"/>
  <c r="J22"/>
  <c r="N22" s="1"/>
  <c r="J21"/>
  <c r="J20"/>
  <c r="J19"/>
  <c r="J18"/>
  <c r="J17"/>
  <c r="J16"/>
  <c r="J15"/>
  <c r="J14"/>
  <c r="J13"/>
  <c r="I13"/>
  <c r="H13"/>
  <c r="G13"/>
  <c r="J12"/>
  <c r="N12" s="1"/>
  <c r="J11"/>
  <c r="N11" s="1"/>
  <c r="J10"/>
  <c r="N10" s="1"/>
  <c r="J9"/>
  <c r="I9"/>
  <c r="H9"/>
  <c r="G9"/>
  <c r="J8"/>
  <c r="N8" s="1"/>
  <c r="J7"/>
  <c r="N7" s="1"/>
  <c r="I7"/>
  <c r="H7"/>
  <c r="G7"/>
  <c r="J6"/>
  <c r="N6" s="1"/>
  <c r="J5"/>
  <c r="J4"/>
  <c r="N4" s="1"/>
  <c r="N66" l="1"/>
  <c r="N77"/>
  <c r="N54"/>
  <c r="N58"/>
  <c r="N32"/>
  <c r="N36"/>
  <c r="N14"/>
  <c r="N18"/>
  <c r="N83"/>
  <c r="N87"/>
  <c r="N91"/>
  <c r="N95"/>
  <c r="N99"/>
  <c r="N15"/>
  <c r="N19"/>
  <c r="N25"/>
  <c r="N29"/>
  <c r="N39"/>
  <c r="N51"/>
  <c r="N55"/>
  <c r="N63"/>
  <c r="N67"/>
  <c r="N71"/>
  <c r="N79"/>
  <c r="N84"/>
  <c r="N88"/>
  <c r="N92"/>
  <c r="N96"/>
  <c r="N100"/>
  <c r="N109"/>
  <c r="N113"/>
  <c r="N117"/>
  <c r="N121"/>
  <c r="N125"/>
  <c r="N108"/>
  <c r="N112"/>
  <c r="N116"/>
  <c r="N120"/>
  <c r="N16"/>
  <c r="N20"/>
  <c r="N26"/>
  <c r="N30"/>
  <c r="N34"/>
  <c r="N45"/>
  <c r="N52"/>
  <c r="N56"/>
  <c r="N60"/>
  <c r="N64"/>
  <c r="N73"/>
  <c r="N81"/>
  <c r="N85"/>
  <c r="N89"/>
  <c r="N110"/>
  <c r="N114"/>
  <c r="N118"/>
  <c r="N5"/>
  <c r="N9"/>
  <c r="N13"/>
  <c r="N17"/>
  <c r="N21"/>
  <c r="N27"/>
  <c r="N35"/>
  <c r="N46"/>
  <c r="N53"/>
  <c r="N57"/>
  <c r="N61"/>
  <c r="N65"/>
  <c r="N75"/>
  <c r="N82"/>
  <c r="N86"/>
  <c r="N90"/>
  <c r="N94"/>
  <c r="N98"/>
  <c r="N102"/>
  <c r="N107"/>
  <c r="N111"/>
  <c r="N115"/>
  <c r="N123"/>
  <c r="N93"/>
  <c r="N97"/>
  <c r="N101"/>
  <c r="N122"/>
</calcChain>
</file>

<file path=xl/sharedStrings.xml><?xml version="1.0" encoding="utf-8"?>
<sst xmlns="http://schemas.openxmlformats.org/spreadsheetml/2006/main" count="10063" uniqueCount="2559">
  <si>
    <t>Code</t>
  </si>
  <si>
    <t>"Famille de paramètres"</t>
  </si>
  <si>
    <t>Remarque</t>
  </si>
  <si>
    <t>Composés organiques volatils</t>
  </si>
  <si>
    <t>Hydrocarbonés</t>
  </si>
  <si>
    <t>Organohalogénés</t>
  </si>
  <si>
    <t>Oxygénés</t>
  </si>
  <si>
    <t>Soufrés</t>
  </si>
  <si>
    <t>Phénols</t>
  </si>
  <si>
    <t>Phénols alkylés</t>
  </si>
  <si>
    <t>Chlorophénols</t>
  </si>
  <si>
    <t>Phtalates</t>
  </si>
  <si>
    <t>Composés organiques semi volatils</t>
  </si>
  <si>
    <t>PCB</t>
  </si>
  <si>
    <t>Dioxines - furannes</t>
  </si>
  <si>
    <t>Pesticides</t>
  </si>
  <si>
    <t>Pesticides organochlorés</t>
  </si>
  <si>
    <t>Pesticides organophosphorés</t>
  </si>
  <si>
    <t>Herbicides</t>
  </si>
  <si>
    <t>Herbicides phénoxyacides</t>
  </si>
  <si>
    <t>HAP</t>
  </si>
  <si>
    <t>Métaux</t>
  </si>
  <si>
    <t>Explosifs et substances chimiques à usage militaire</t>
  </si>
  <si>
    <t>Autres polluants divers</t>
  </si>
  <si>
    <t>Solvant polaires</t>
  </si>
  <si>
    <t>Amines</t>
  </si>
  <si>
    <t>Autres éléments chimiques</t>
  </si>
  <si>
    <t>A 1</t>
  </si>
  <si>
    <t>A 2</t>
  </si>
  <si>
    <t>A 3</t>
  </si>
  <si>
    <t>A 4</t>
  </si>
  <si>
    <t>B 1</t>
  </si>
  <si>
    <t>B 2</t>
  </si>
  <si>
    <t>C</t>
  </si>
  <si>
    <t>D 1</t>
  </si>
  <si>
    <t xml:space="preserve">D 2 </t>
  </si>
  <si>
    <t>E 1</t>
  </si>
  <si>
    <t>E 2</t>
  </si>
  <si>
    <t>E 3</t>
  </si>
  <si>
    <t xml:space="preserve">E 4 </t>
  </si>
  <si>
    <t>F</t>
  </si>
  <si>
    <t>G</t>
  </si>
  <si>
    <t xml:space="preserve"> H</t>
  </si>
  <si>
    <t>I 1</t>
  </si>
  <si>
    <t xml:space="preserve"> I 2 </t>
  </si>
  <si>
    <t>J</t>
  </si>
  <si>
    <t>N° CAS</t>
  </si>
  <si>
    <t>79-34-5</t>
  </si>
  <si>
    <t>1 -- 2</t>
  </si>
  <si>
    <t>1,2,3-trichloropropane</t>
  </si>
  <si>
    <t>96-18-4</t>
  </si>
  <si>
    <t>1,2-dibromo-3-chloropropane</t>
  </si>
  <si>
    <t>96-12-8</t>
  </si>
  <si>
    <t>1,2-dichloropropane</t>
  </si>
  <si>
    <t>78-87-5</t>
  </si>
  <si>
    <t>1-butanol</t>
  </si>
  <si>
    <t>71-36-3</t>
  </si>
  <si>
    <t>78-93-3</t>
  </si>
  <si>
    <t>95-49-8</t>
  </si>
  <si>
    <t>141-78-6</t>
  </si>
  <si>
    <t>67-64-1</t>
  </si>
  <si>
    <t>75-05-8</t>
  </si>
  <si>
    <t>108-86-1</t>
  </si>
  <si>
    <t>75-27-4</t>
  </si>
  <si>
    <t>75-25-2</t>
  </si>
  <si>
    <t>74-83-9</t>
  </si>
  <si>
    <t>108-90-7</t>
  </si>
  <si>
    <t>75-00-3</t>
  </si>
  <si>
    <t>74-87-3</t>
  </si>
  <si>
    <t>98-82-8</t>
  </si>
  <si>
    <t>124-48-1</t>
  </si>
  <si>
    <t>95-50-1</t>
  </si>
  <si>
    <t>541-73-1</t>
  </si>
  <si>
    <t>106-46-7</t>
  </si>
  <si>
    <t>75-35-4</t>
  </si>
  <si>
    <t>60-29-7</t>
  </si>
  <si>
    <t>75-15-0</t>
  </si>
  <si>
    <t>87-68-3</t>
  </si>
  <si>
    <t>1 -- 2 -- 11</t>
  </si>
  <si>
    <t>67-63-0</t>
  </si>
  <si>
    <t>67-56-1</t>
  </si>
  <si>
    <t>75-56-9</t>
  </si>
  <si>
    <t>110-86-1</t>
  </si>
  <si>
    <t>I 2</t>
  </si>
  <si>
    <t>75-65-0</t>
  </si>
  <si>
    <t>87-61-6</t>
  </si>
  <si>
    <t>120-82-1</t>
  </si>
  <si>
    <t>108-70-3</t>
  </si>
  <si>
    <t>95-48-7</t>
  </si>
  <si>
    <t>108-39-4</t>
  </si>
  <si>
    <t>106-44-5</t>
  </si>
  <si>
    <t>105-67-9</t>
  </si>
  <si>
    <t>95-87-4</t>
  </si>
  <si>
    <t>576-26-1</t>
  </si>
  <si>
    <t>95-65-8</t>
  </si>
  <si>
    <t>95-57-8</t>
  </si>
  <si>
    <t>108-43-0</t>
  </si>
  <si>
    <t>106-48-9</t>
  </si>
  <si>
    <t>120-83-2</t>
  </si>
  <si>
    <t>87-65-0</t>
  </si>
  <si>
    <t>95-77-2</t>
  </si>
  <si>
    <t>591-35-5</t>
  </si>
  <si>
    <t>933-78-8</t>
  </si>
  <si>
    <t>933-75-5</t>
  </si>
  <si>
    <t>95-95-4</t>
  </si>
  <si>
    <t>88-06-2</t>
  </si>
  <si>
    <t>609-19-8</t>
  </si>
  <si>
    <t>4901-51-3</t>
  </si>
  <si>
    <t>58-90-2</t>
  </si>
  <si>
    <t>87-86-5</t>
  </si>
  <si>
    <t>DEHP</t>
  </si>
  <si>
    <t>117-81-7</t>
  </si>
  <si>
    <t>85-68-7</t>
  </si>
  <si>
    <t>84-66-2</t>
  </si>
  <si>
    <t>84-74-2</t>
  </si>
  <si>
    <t>634-66-2</t>
  </si>
  <si>
    <t>95-94-3</t>
  </si>
  <si>
    <t>608-93-5</t>
  </si>
  <si>
    <t>118-74-1</t>
  </si>
  <si>
    <t>50-00-0</t>
  </si>
  <si>
    <t>75-07-0</t>
  </si>
  <si>
    <t>PCB 28</t>
  </si>
  <si>
    <t>7012-37-5</t>
  </si>
  <si>
    <t>10 -- 11</t>
  </si>
  <si>
    <t>PCB 52</t>
  </si>
  <si>
    <t>35693-99-3</t>
  </si>
  <si>
    <t>PCB 101</t>
  </si>
  <si>
    <t>37680-72-3</t>
  </si>
  <si>
    <t>PCB 118</t>
  </si>
  <si>
    <t>31508-00-6</t>
  </si>
  <si>
    <t>PCB 138</t>
  </si>
  <si>
    <t>35065-28-2</t>
  </si>
  <si>
    <t>PCB 153</t>
  </si>
  <si>
    <t>35065-27-1</t>
  </si>
  <si>
    <t>PCB 180</t>
  </si>
  <si>
    <t>35065-29-3</t>
  </si>
  <si>
    <t>1746-01-6</t>
  </si>
  <si>
    <t>D 2</t>
  </si>
  <si>
    <t>57-74-9</t>
  </si>
  <si>
    <t>1024-57-3</t>
  </si>
  <si>
    <t>58-89-9</t>
  </si>
  <si>
    <t>60-57-1</t>
  </si>
  <si>
    <t>72-54-8</t>
  </si>
  <si>
    <t>4,4′-DDE</t>
  </si>
  <si>
    <t>72-55-9</t>
  </si>
  <si>
    <t>50-29-3</t>
  </si>
  <si>
    <t>319-85-7</t>
  </si>
  <si>
    <t>298-04-4</t>
  </si>
  <si>
    <t>333-41-5</t>
  </si>
  <si>
    <t>1912-24-9</t>
  </si>
  <si>
    <t>314-40-9</t>
  </si>
  <si>
    <t>16118-49-3</t>
  </si>
  <si>
    <t>1698-60-8</t>
  </si>
  <si>
    <t>21725-46-2</t>
  </si>
  <si>
    <t>2008-58-4</t>
  </si>
  <si>
    <t>330-54-1</t>
  </si>
  <si>
    <t>26225-79-6</t>
  </si>
  <si>
    <t>51235-04-2</t>
  </si>
  <si>
    <t>34123-59-6</t>
  </si>
  <si>
    <t>330-55-2</t>
  </si>
  <si>
    <t>41394-05-2</t>
  </si>
  <si>
    <t>67129-08-2</t>
  </si>
  <si>
    <t>18691-97-9</t>
  </si>
  <si>
    <t>3060-89-7</t>
  </si>
  <si>
    <t>51218-45-2</t>
  </si>
  <si>
    <t>1746-81-2</t>
  </si>
  <si>
    <t>139-40-2</t>
  </si>
  <si>
    <t>7286-69-3</t>
  </si>
  <si>
    <t>122-34-9</t>
  </si>
  <si>
    <t>5915-41-3</t>
  </si>
  <si>
    <t>886-50-0</t>
  </si>
  <si>
    <t>15545-48-9</t>
  </si>
  <si>
    <t>Alachlor</t>
  </si>
  <si>
    <t>15972-60-8</t>
  </si>
  <si>
    <t>11 -- 13</t>
  </si>
  <si>
    <t>120-36-5</t>
  </si>
  <si>
    <t>E 4</t>
  </si>
  <si>
    <t>25057-89-0</t>
  </si>
  <si>
    <t>1918-00-9</t>
  </si>
  <si>
    <t>69377-81-7</t>
  </si>
  <si>
    <t>2,4-D</t>
  </si>
  <si>
    <t>94-75-7</t>
  </si>
  <si>
    <t>94-74-6</t>
  </si>
  <si>
    <t>93-65-2</t>
  </si>
  <si>
    <t>92-52-4</t>
  </si>
  <si>
    <t>90-12-0</t>
  </si>
  <si>
    <t>16 -- 1 -- 2</t>
  </si>
  <si>
    <t>91-57-6</t>
  </si>
  <si>
    <t>121-82-4</t>
  </si>
  <si>
    <t>H</t>
  </si>
  <si>
    <t>118-96-7</t>
  </si>
  <si>
    <t>2691-41-0</t>
  </si>
  <si>
    <t>99-35-4</t>
  </si>
  <si>
    <t>121-14-2</t>
  </si>
  <si>
    <t>606-20-2</t>
  </si>
  <si>
    <t>Coélution avec le Tetrachlorobenzene, 1,2,3,5-</t>
  </si>
  <si>
    <t>Isomères trans/cis non séparables dans les conditions opératoires classiques</t>
  </si>
  <si>
    <t>uniquement méthode HPLC : ISO 11916-1</t>
  </si>
  <si>
    <t>7429-90-5</t>
  </si>
  <si>
    <t>5 -- 7</t>
  </si>
  <si>
    <t>7440-36-0</t>
  </si>
  <si>
    <t>5 -- 6 -- 7</t>
  </si>
  <si>
    <t>7440-39-3</t>
  </si>
  <si>
    <t>7440-41-7</t>
  </si>
  <si>
    <t>7440-48-4</t>
  </si>
  <si>
    <t>7440-31-5</t>
  </si>
  <si>
    <t>7439-96-5</t>
  </si>
  <si>
    <t>7439-98-7</t>
  </si>
  <si>
    <t>7782-49-2</t>
  </si>
  <si>
    <t>7440-28-0</t>
  </si>
  <si>
    <t>7440-32-6</t>
  </si>
  <si>
    <t>7440-62-2</t>
  </si>
  <si>
    <t>7440-22-4</t>
  </si>
  <si>
    <t>7440-42-8</t>
  </si>
  <si>
    <t>7440-24-6</t>
  </si>
  <si>
    <t>7664-41-7</t>
  </si>
  <si>
    <t>Ammoniac : Dosage de l'ammonium</t>
  </si>
  <si>
    <t>7664-39-3</t>
  </si>
  <si>
    <t>/</t>
  </si>
  <si>
    <t>Mesure du pH et fluorures sur lixiviat comme indication présence d'acide fluorhydrique</t>
  </si>
  <si>
    <t>7647-01-0</t>
  </si>
  <si>
    <t>Mesure du pH et chlorures sur lixiviat comme indication présence d'acide chlorhydrique</t>
  </si>
  <si>
    <t>7664-93-9</t>
  </si>
  <si>
    <t>7697-37-2</t>
  </si>
  <si>
    <t>Remarques relatives aux méthodes d'analyses</t>
  </si>
  <si>
    <t>Famille analytique</t>
  </si>
  <si>
    <t>Code méthode d'analyse</t>
  </si>
  <si>
    <t>LQ 
mg/kg de mat.sèc.</t>
  </si>
  <si>
    <t>PNN</t>
  </si>
  <si>
    <t>Matrice sol</t>
  </si>
  <si>
    <t>Code paramètres</t>
  </si>
  <si>
    <t>Résumé méthode</t>
  </si>
  <si>
    <t>Norme</t>
  </si>
  <si>
    <t>Méthode CWEA</t>
  </si>
  <si>
    <t>VOC's</t>
  </si>
  <si>
    <t>Purge and trap GC-MS/FID/ECD</t>
  </si>
  <si>
    <t>NBN EN ISO 15009: 2016</t>
  </si>
  <si>
    <t>S-III-1.1</t>
  </si>
  <si>
    <t>Conservation : T &lt;-18°C dans le noir si l'extraction n'est pas réalisée directement</t>
  </si>
  <si>
    <t>Purge and trap et GC/MS</t>
  </si>
  <si>
    <t>EPA 5035A et</t>
  </si>
  <si>
    <t>EPA 8260C</t>
  </si>
  <si>
    <t>Head space GC-MS/FID/ECD</t>
  </si>
  <si>
    <t>NBN EN ISO 22155: 2016</t>
  </si>
  <si>
    <t>S-III-1.2</t>
  </si>
  <si>
    <t>Head Space et GC/MS</t>
  </si>
  <si>
    <t>EPA 5021A et</t>
  </si>
  <si>
    <t>Phénols et chlorophénols</t>
  </si>
  <si>
    <t>GC-MS après dérivatisation</t>
  </si>
  <si>
    <t>ISO/TS 17182: 2014</t>
  </si>
  <si>
    <t>GC-MS</t>
  </si>
  <si>
    <t>CEN/TS 16183 : 2012</t>
  </si>
  <si>
    <t xml:space="preserve">Extraction ETM eau régale </t>
  </si>
  <si>
    <t>NBN EN 16174 :2012</t>
  </si>
  <si>
    <t>S-II-1</t>
  </si>
  <si>
    <t>Dosage ICP OES</t>
  </si>
  <si>
    <t>NBN EN 16170 : 2016</t>
  </si>
  <si>
    <t>S-II-2.2</t>
  </si>
  <si>
    <t xml:space="preserve">Dosage ICP AES </t>
  </si>
  <si>
    <t>ISO 22036 : 2008</t>
  </si>
  <si>
    <t xml:space="preserve">Métaux </t>
  </si>
  <si>
    <t>AAS (flamme et électrothermique)</t>
  </si>
  <si>
    <t>ISO 11047 : 1998</t>
  </si>
  <si>
    <t>S-II-2.1</t>
  </si>
  <si>
    <t>AAS (électrothermique ou hydrure)</t>
  </si>
  <si>
    <t>ISO 20280 : 2007</t>
  </si>
  <si>
    <t>ICP-MS (sol)</t>
  </si>
  <si>
    <t>NBN EN 16171 : 2016</t>
  </si>
  <si>
    <t>Cr(VI)</t>
  </si>
  <si>
    <t>Chromatographie ionique-UV-Vis</t>
  </si>
  <si>
    <t>EN 15192 : 2006</t>
  </si>
  <si>
    <t>S-II-4</t>
  </si>
  <si>
    <t>Mercure</t>
  </si>
  <si>
    <t>Mercure total par AAS et SFA. vapeur froide</t>
  </si>
  <si>
    <t>ISO 16772 : 2004</t>
  </si>
  <si>
    <t>S-II-3</t>
  </si>
  <si>
    <t>AAS vapeur froide</t>
  </si>
  <si>
    <t>NBN EN 16175-1 : 2016</t>
  </si>
  <si>
    <t>SFA vapeur froide</t>
  </si>
  <si>
    <t>NBN EN 16175-2 : 2016</t>
  </si>
  <si>
    <t>GC-MS/ECD</t>
  </si>
  <si>
    <t>NBN EN 16167 : 2012</t>
  </si>
  <si>
    <t>GC-ECD (MS)</t>
  </si>
  <si>
    <t>ISO 10382 : 2002</t>
  </si>
  <si>
    <t>GC-FDP/NDP (MS)</t>
  </si>
  <si>
    <t>EPA METHOD 8141B</t>
  </si>
  <si>
    <t>Certains contaminants peuvent également être analysés pas HPLC/MS</t>
  </si>
  <si>
    <t>HPLC-UV (MS)</t>
  </si>
  <si>
    <t>ISO 11264 : 2005</t>
  </si>
  <si>
    <t xml:space="preserve">Conservation : T &lt;-20°C dans le noir si stocké + de 2 jours </t>
  </si>
  <si>
    <t>Herbicides phénoxyalcanoïques</t>
  </si>
  <si>
    <t>GC-MS après dérivatisation (eau)</t>
  </si>
  <si>
    <t>NBN EN ISO 15913 : 2003</t>
  </si>
  <si>
    <t>Dioxines</t>
  </si>
  <si>
    <t>GC-MS Haute Résolution</t>
  </si>
  <si>
    <t>CEN/TS 16190 : 2012</t>
  </si>
  <si>
    <t>Conservation &lt; 8°C et abris de la lumière</t>
  </si>
  <si>
    <t>GC-MS et HPLC-UV-DAD/FLD</t>
  </si>
  <si>
    <t>ISO 13859: 2014</t>
  </si>
  <si>
    <t>1-méthylnaphtalène et 2-méthylnaphtalène pas par HLPC (MRM ion mère et fille identique)</t>
  </si>
  <si>
    <t>ISO 18287: 2006</t>
  </si>
  <si>
    <t>S-III-3.2</t>
  </si>
  <si>
    <t>Cyanures</t>
  </si>
  <si>
    <t>Colorimétrie ou titrimétrie avec indicateur</t>
  </si>
  <si>
    <t>ISO 11262 : 2011</t>
  </si>
  <si>
    <t>S-II-5.1</t>
  </si>
  <si>
    <t>CFA</t>
  </si>
  <si>
    <t>NBN EN ISO 17380 : 2013</t>
  </si>
  <si>
    <t>S-II-5.2</t>
  </si>
  <si>
    <t>Explosifs</t>
  </si>
  <si>
    <t>ISO 11916-1 : 2013</t>
  </si>
  <si>
    <t>ISO 11916-2 : 2013</t>
  </si>
  <si>
    <t>Azote</t>
  </si>
  <si>
    <t>Méthode manuelle</t>
  </si>
  <si>
    <t>ISO/TS 14256-1:2003</t>
  </si>
  <si>
    <t>analyse en flux segmenté</t>
  </si>
  <si>
    <t>ISO 14256 - 2 : 2005</t>
  </si>
  <si>
    <t>Aldéhydes</t>
  </si>
  <si>
    <t>EPA METHOD 8315A</t>
  </si>
  <si>
    <t>pH</t>
  </si>
  <si>
    <t>ISO 10390 : 2005</t>
  </si>
  <si>
    <t>S-II-6.1</t>
  </si>
  <si>
    <t>Trois méthodes à appliquer :  Mesure du pH et des Halogène sur lixiviat</t>
  </si>
  <si>
    <t>Halogènes</t>
  </si>
  <si>
    <t xml:space="preserve">Lixiviation </t>
  </si>
  <si>
    <t>NBN EN 12457-2</t>
  </si>
  <si>
    <t>S-I-4</t>
  </si>
  <si>
    <t>ISO 10304-1 : 2009</t>
  </si>
  <si>
    <t>Sonde électrochimique</t>
  </si>
  <si>
    <t>ISO 10359-1 : 1992</t>
  </si>
  <si>
    <t>13A</t>
  </si>
  <si>
    <t>13B</t>
  </si>
  <si>
    <t>13C</t>
  </si>
  <si>
    <t>13D</t>
  </si>
  <si>
    <t>13E</t>
  </si>
  <si>
    <t>13G</t>
  </si>
  <si>
    <t>13H</t>
  </si>
  <si>
    <t>106-89-8</t>
  </si>
  <si>
    <t>75-34-3</t>
  </si>
  <si>
    <t>somme des crésols</t>
  </si>
  <si>
    <t>1319-77-3</t>
  </si>
  <si>
    <t>935-95-5</t>
  </si>
  <si>
    <t>526-75-0</t>
  </si>
  <si>
    <t>69A</t>
  </si>
  <si>
    <t>70B</t>
  </si>
  <si>
    <t>71B</t>
  </si>
  <si>
    <t>72B</t>
  </si>
  <si>
    <t>82657-04-3</t>
  </si>
  <si>
    <t>68-12-2</t>
  </si>
  <si>
    <t>14798-03-9</t>
  </si>
  <si>
    <t>ammonium</t>
  </si>
  <si>
    <t>16984-48-8</t>
  </si>
  <si>
    <t>16887-00-6</t>
  </si>
  <si>
    <t>14808-79-8</t>
  </si>
  <si>
    <t>14797-55-8</t>
  </si>
  <si>
    <t>14797-65-0</t>
  </si>
  <si>
    <t>122-39-4</t>
  </si>
  <si>
    <t>35572-78-2</t>
  </si>
  <si>
    <t>19406-51-0</t>
  </si>
  <si>
    <t>55-63-0</t>
  </si>
  <si>
    <t>78-11-5</t>
  </si>
  <si>
    <t>95-63-6</t>
  </si>
  <si>
    <t>108-67-8</t>
  </si>
  <si>
    <t>135-98-8</t>
  </si>
  <si>
    <t>98-06-6</t>
  </si>
  <si>
    <t>99-87-6</t>
  </si>
  <si>
    <t>64-17-5</t>
  </si>
  <si>
    <t>71-23-8</t>
  </si>
  <si>
    <t>84-69-5</t>
  </si>
  <si>
    <t>103-65-1</t>
  </si>
  <si>
    <t>104-51-8</t>
  </si>
  <si>
    <t>86-74-8</t>
  </si>
  <si>
    <t>carbazole</t>
  </si>
  <si>
    <t>132-64-9</t>
  </si>
  <si>
    <t>106-43-4</t>
  </si>
  <si>
    <t>101-84-8</t>
  </si>
  <si>
    <t>25167-70-8</t>
  </si>
  <si>
    <t>873-94-9</t>
  </si>
  <si>
    <t>98-83-9</t>
  </si>
  <si>
    <t>107-40-4</t>
  </si>
  <si>
    <t>107-39-1</t>
  </si>
  <si>
    <t>598-96-9</t>
  </si>
  <si>
    <t>63-25-2</t>
  </si>
  <si>
    <t>carbaryl</t>
  </si>
  <si>
    <t>123-01-3</t>
  </si>
  <si>
    <t>583-78-8</t>
  </si>
  <si>
    <t>59-50-7</t>
  </si>
  <si>
    <t>10097-32-2</t>
  </si>
  <si>
    <t>--</t>
  </si>
  <si>
    <t>cyanures non oxydables au chlore</t>
  </si>
  <si>
    <t>108-68-9</t>
  </si>
  <si>
    <t>123-07-9</t>
  </si>
  <si>
    <t>465-73-6</t>
  </si>
  <si>
    <t>620-17-7</t>
  </si>
  <si>
    <t>108-99-6</t>
  </si>
  <si>
    <t>90-00-6</t>
  </si>
  <si>
    <t>109-06-8</t>
  </si>
  <si>
    <t>1333-41-1</t>
  </si>
  <si>
    <t>108-89-4</t>
  </si>
  <si>
    <t>thiocyanates</t>
  </si>
  <si>
    <t>89-83-8</t>
  </si>
  <si>
    <t>84-76-4</t>
  </si>
  <si>
    <t>28553-12-0</t>
  </si>
  <si>
    <t>7440-69-9</t>
  </si>
  <si>
    <t>7440-46-2</t>
  </si>
  <si>
    <t>7439-93-2</t>
  </si>
  <si>
    <t>10605-21-7</t>
  </si>
  <si>
    <t>101-21-3</t>
  </si>
  <si>
    <t>6190-65-4</t>
  </si>
  <si>
    <t>30125-63-4</t>
  </si>
  <si>
    <t>1007-28-9</t>
  </si>
  <si>
    <t>19937-59-8</t>
  </si>
  <si>
    <t>7287-19-6</t>
  </si>
  <si>
    <t>1918-16-7</t>
  </si>
  <si>
    <t>709-98-8</t>
  </si>
  <si>
    <t>110-54-3</t>
  </si>
  <si>
    <t>9004-70-0</t>
  </si>
  <si>
    <t>13494-80-9</t>
  </si>
  <si>
    <t>634-90-2</t>
  </si>
  <si>
    <t>25791-96-2</t>
  </si>
  <si>
    <t>52625-13-5</t>
  </si>
  <si>
    <t>25322-69-4</t>
  </si>
  <si>
    <t>1228577-90-9</t>
  </si>
  <si>
    <t>13674-84-5</t>
  </si>
  <si>
    <t>131-11-3</t>
  </si>
  <si>
    <t>104-40-5</t>
  </si>
  <si>
    <t>34256-82-1</t>
  </si>
  <si>
    <t>85-00-7</t>
  </si>
  <si>
    <t>2764-72-9</t>
  </si>
  <si>
    <t>1910-42-5</t>
  </si>
  <si>
    <t>4685-14-7</t>
  </si>
  <si>
    <t>1071-83-6</t>
  </si>
  <si>
    <t>15299-99-7</t>
  </si>
  <si>
    <t>2008-41-5</t>
  </si>
  <si>
    <t>2212-67-1</t>
  </si>
  <si>
    <t>52888-80-9</t>
  </si>
  <si>
    <t>1929-77-7</t>
  </si>
  <si>
    <t>79-09-4</t>
  </si>
  <si>
    <t>1134-23-2</t>
  </si>
  <si>
    <t>Cycloate</t>
  </si>
  <si>
    <t>2303-16-4</t>
  </si>
  <si>
    <t>759-94-4</t>
  </si>
  <si>
    <t>85785-20-2</t>
  </si>
  <si>
    <t>2941-55-1</t>
  </si>
  <si>
    <t>34622-58-7</t>
  </si>
  <si>
    <t>1114-71-2</t>
  </si>
  <si>
    <t>7440-21-3</t>
  </si>
  <si>
    <t>7440-33-7</t>
  </si>
  <si>
    <t>107-21-1</t>
  </si>
  <si>
    <t>sulfates</t>
  </si>
  <si>
    <t>code VL</t>
  </si>
  <si>
    <t>Code famille analytique</t>
  </si>
  <si>
    <t>liste des PNN repris dans la base de données</t>
  </si>
  <si>
    <t>En ce qui concerne les méthodes d'analyse, les PNN sont regoupés par familles analytiques, tel que repris dans le tableau ci-dessous</t>
  </si>
  <si>
    <t>en cas d'identification d'un PNN volatil, les recommandations du CWEA en termes de prélèvement et de conditionnement avant analyse sont de vigueur</t>
  </si>
  <si>
    <t>dans ce code VL, les références "outxx" correspondent à des PNN pour lesquels aucune VL n'a été établie</t>
  </si>
  <si>
    <t>Les PNN sont identifiés par leur numéro CAS, et 2 codes leur sont associés</t>
  </si>
  <si>
    <t>2) le code famille analytique renvoie vers les onglets "méthodes d'analyses"</t>
  </si>
  <si>
    <t>out 8</t>
  </si>
  <si>
    <t>out 5</t>
  </si>
  <si>
    <t>o,p-DDT</t>
  </si>
  <si>
    <t>789-02-6</t>
  </si>
  <si>
    <t>out 6</t>
  </si>
  <si>
    <t>pesticides sans données toxicologiques</t>
  </si>
  <si>
    <t>7727-37-9</t>
  </si>
  <si>
    <t>out 7</t>
  </si>
  <si>
    <t>144-55-8</t>
  </si>
  <si>
    <t>calcium</t>
  </si>
  <si>
    <t>out 9</t>
  </si>
  <si>
    <t>10043-52-4</t>
  </si>
  <si>
    <t>out 10</t>
  </si>
  <si>
    <t>12125-02-9</t>
  </si>
  <si>
    <t>out 11</t>
  </si>
  <si>
    <t>7439-89-6</t>
  </si>
  <si>
    <t>out 12</t>
  </si>
  <si>
    <t>magnesium</t>
  </si>
  <si>
    <t>7439-95-4</t>
  </si>
  <si>
    <t>out 13</t>
  </si>
  <si>
    <t>14265-44-2</t>
  </si>
  <si>
    <t>7723-14-0</t>
  </si>
  <si>
    <t>out 14</t>
  </si>
  <si>
    <t>out 15</t>
  </si>
  <si>
    <t>potassium</t>
  </si>
  <si>
    <t>out 16</t>
  </si>
  <si>
    <t>sodium</t>
  </si>
  <si>
    <t>7440-23-5</t>
  </si>
  <si>
    <t>out 17</t>
  </si>
  <si>
    <t>7704-34-9</t>
  </si>
  <si>
    <t>out 18</t>
  </si>
  <si>
    <t>COT (carbone organique total)</t>
  </si>
  <si>
    <t>out 19</t>
  </si>
  <si>
    <t>out 20</t>
  </si>
  <si>
    <t>polluants volatils</t>
  </si>
  <si>
    <t xml:space="preserve"> volatils ou semi-volatils</t>
  </si>
  <si>
    <t>semi-volatils</t>
  </si>
  <si>
    <r>
      <t xml:space="preserve">la notion de </t>
    </r>
    <r>
      <rPr>
        <b/>
        <sz val="11"/>
        <color theme="1"/>
        <rFont val="Calibri"/>
        <family val="2"/>
        <scheme val="minor"/>
      </rPr>
      <t>polluant volatil</t>
    </r>
    <r>
      <rPr>
        <sz val="11"/>
        <color theme="1"/>
        <rFont val="Calibri"/>
        <family val="2"/>
        <scheme val="minor"/>
      </rPr>
      <t xml:space="preserve"> tel que reprise dans la colonne des remarques est définie selon le critère issu du GRER partim B:</t>
    </r>
  </si>
  <si>
    <t>Polluant Non Normé</t>
  </si>
  <si>
    <t>VLH
usage I
[mg/kg MS]</t>
  </si>
  <si>
    <t>VLH
usage III
[mg/kg MS]</t>
  </si>
  <si>
    <t>VLH
usage IV
[mg/kg MS]</t>
  </si>
  <si>
    <t>VLH
usage V
[mg/kg MS]</t>
  </si>
  <si>
    <t>VLnappe
[µg/l]</t>
  </si>
  <si>
    <t>VLN
[mg/kg MS]</t>
  </si>
  <si>
    <t>VLnappe_non_exploitable
[µg/l]</t>
  </si>
  <si>
    <t>Remarques éventuelles en cas d'absence de valeurs limites</t>
  </si>
  <si>
    <t>NP</t>
  </si>
  <si>
    <t>NA</t>
  </si>
  <si>
    <t>pas de VLH</t>
  </si>
  <si>
    <t>1336-36-3</t>
  </si>
  <si>
    <t>considérer les valeurs pour chaque isomère</t>
  </si>
  <si>
    <t>13F</t>
  </si>
  <si>
    <t>pas de VTRinhal</t>
  </si>
  <si>
    <t>Cpw&gt;S --&gt; égal à la Solubilité</t>
  </si>
  <si>
    <t>pyridine</t>
  </si>
  <si>
    <t>temps de résidence supposé court dans les sols du fait de sa volatilisation vers l’atmosphère et de sa transformation par les micro-organismes en nitrites et nitrates (cycle de l’azote) --&gt; doser les ionis ammonium, nitrates et nitrites dans l'eau souterraine3/02/2017 Attention aux mesures d'air si solution concentrée</t>
  </si>
  <si>
    <t>aucune valeur limite n’a été établie pour les éléments majeurs présents dans les sols (calcium, potassium, magnésium, sodium, ammonium, phosphates, chlorures et sulfates) conformément à la position de l’EPA (référence : EPA (1989). “Risk assessment guidance for Superfund – Volume I – Human Health Evaluation Manual (Part A)”, page 5-23). En effet, l’EPA précise dans ce guide que « les substances considérées comme des éléments nutritifs pour l’homme ou qui ne pourraient être toxiques qu’à de très fortes doses (bien plus élevées que celles mesurées sur un site) ne sont pas prises en compte dans une évaluation des risques pour la santé humaine
paramètre à considérer uniquement dans les eaux souterraines</t>
  </si>
  <si>
    <t>du fait de sa très forte solubilité, cette substance ne garde pas sa forme chimique initiale et se dissocie dans les sols pour former d’autres substances --&gt; analyser le pH et doser les fluorures dans l'eau souterraine.  Attention aux mesures d'air si solution concentrée</t>
  </si>
  <si>
    <t>70A</t>
  </si>
  <si>
    <t>paramètre à considérer uniquement dans les eaux souterraines. Dans le sol, les ions F- sont considérés comme immobiles car ils sont fortement retenus par la fraction minérale du sol</t>
  </si>
  <si>
    <t>du fait de sa très forte solubilité, cette substance ne garde pas sa forme chimique initiale et se dissocie dans les sols pour former d’autres substances --&gt; analyser le pH et doser les chlorures dans l'eau souterraine. Attention aux mesures d'air si solution concentrée</t>
  </si>
  <si>
    <t>71A</t>
  </si>
  <si>
    <t>aucune valeur limite n’a été établie pour les éléments majeurs présents dans les sols (calcium, potassium, magnésium, sodium, ammonium, phosphates, chlorures et sulfates) conformément à la position de l’EPA (référence : EPA (1989). “Risk assessment guidance for Superfund – Volume I – Human Health Evaluation Manual (Part A)”, page 5-23). En effet, l’EPA précise dans ce guide que « les substances considérées comme des éléments nutritifs pour l’homme ou qui ne pourraient être toxiques qu’à de très fortes doses (bien plus élevées que celles mesurées sur un site) ne sont pas prises en compte dans une évaluation des risques pour la santé humaine. 
La toxicité des chlorures a été évaluée par le RIVM en 2009 qui a conclu que cet élément peut être considéré comme non toxique dans les sols. 
paramètre à considérer uniquement dans les eaux souterraines</t>
  </si>
  <si>
    <t>du fait de sa très forte solubilité, cette substance ne garde pas sa forme chimique initiale et se dissocie dans les sols pour former d’autres substances --&gt; analyser le pH et doser les sulfates dans l'eau souterraine; Attention aux mesures d'air si solution concentrée</t>
  </si>
  <si>
    <t>72A</t>
  </si>
  <si>
    <t>paramètre à considérer uniquement dans les eaux souterraines
La toxicité des sulfates a été évaluée par le RIVM en 2009 qui a conclu que cet élément peut être considéré comme non toxique dans les sols. 
aucune valeur limite n’a été établie pour les éléments majeurs présents dans les sols (calcium, potassium, magnésium, sodium, ammonium, phosphates, chlorures et sulfates) conformément à la position de l’EPA (référence : EPA (1989). “Risk assessment guidance for Superfund – Volume I – Human Health Evaluation Manual (Part A)”, page 5-23). En effet, l’EPA précise dans ce guide que « les substances considérées comme des éléments nutritifs pour l’homme ou qui ne pourraient être toxiques qu’à de très fortes doses (bien plus élevées que celles mesurées sur un site) ne sont pas prises en compte dans une évaluation des risques pour la santé humaine</t>
  </si>
  <si>
    <t>du fait de sa très forte solubilité, cette substance ne garde pas sa forme chimique initiale et se dissocie dans les sols pour former d’autres substances --&gt; analyser le pH et doser les nitrates dans l'eau souterraine; Attention aux mesures d'air si solution concentrée</t>
  </si>
  <si>
    <t>L’homme est principalement exposé aux nitrates et aux nitrites en consommant de l’eau chargée en nitrates et des aliments, en particulier les légumes-feuilles (laitue, épinard). L’absorption de ces ions dans les sols n’est pas significative dans la majorité des sols mais la lixiviation de ces ions très solubles dans l’eau conduit à leur présence significative dans les eaux souterraines. En conséquence, paramètre à considérer uniquement pour les eaux souterraines.</t>
  </si>
  <si>
    <t xml:space="preserve">paramètre à considérer uniquement pour les eaux souterraines (cfr recommandation pour les nitrates).
A titre informatif, l’Etat de Floride (USA) fixe une norme assimilable à la VLH dans les sols à 8 700 mg/kg pour l’usage résidentiel et à 220 000 mg/kg pour l’usage commercial/industriel. L’US-EPA fixe, dans le cadre des « Regional Screening Levels », une norme assimilable à la VLH dans les sols à 7 800 mg/kg pour l’usage résidentiel et à 120 000 mg/kg pour l’usage industriel.
</t>
  </si>
  <si>
    <t>explosif largement utilisé dans la fabrication de poudre. L’US-EPA ainsi que l’Etat de Floride proposent respectivement des « Regional Screening Levels » (RSL) et « Soil clean-up target level » pour les usages résidentiel et industriel dans les sols. Il convient de prendre le minimum des valeurs des RSL et « Soil clean-up target level », soit 6,3 mg/kg pour les usages résidentiel et naturel et 54 mg/kg pour l’usage industriel. A noter  le caractère explosif de ce composé et les protections spécifiques nécessaires en cas d’assainissement (produit sensible au choc et à la chaleur).</t>
  </si>
  <si>
    <t>Approximation valable en première approche (molécule peu soluble et peu volatile): prendre les valeurs seuils les plus sévères pour cette famille de polluants, à savoir celles pour le DEHP (Di (2 ethyl hexyl) phtalate)</t>
  </si>
  <si>
    <t>se rapporter à annexe 1 du Décret Sols - indice hydrocarbures --&gt; ce composé est analysé par la méthode de l'indice hydrocarbure</t>
  </si>
  <si>
    <t>composé très dense par rapport à l’air (densité = 8.47), insoluble dans l’eau et non volatil (pression de vapeur 5,1. 10-5 mmHg), ayant une faible odeur d’huile. en conséquence les normes proposées pour les fractions d’hydrocarbures pétroliers sont suffisantes pour ce composé. Les normes issues de la réglementation néerlandaise (circulaire du 27 juin 2013) fixant comme niveaux indicatifs de pollution grave : 1000 mg/kg dans les sols et 0,02 µg/L dans les eaux souterraines peuvent également être considérées.</t>
  </si>
  <si>
    <t>non recherché</t>
  </si>
  <si>
    <t>chlordane</t>
  </si>
  <si>
    <t>dieldrine</t>
  </si>
  <si>
    <t>valeurs d’intervention établies par les Pays–Bas (2013): 20 mg/kg dans les sols et 1500 µg/L dans les eaux souterraines. Les carences autant que les excès de thiocyanates sont néfastes pour la santé humaine (influence sur le système immunitaire et perturbateurs endocriniens).</t>
  </si>
  <si>
    <t>se rapporter à annexe 1 du Décret Sols - phénol --&gt; base de comparaison sécuritaire en première approche</t>
  </si>
  <si>
    <t>absence de données toxicologiques dans la littérature --&gt; comparer les concentrations obtenues à un bruit de fond local (moyenne sur 3 mesures). A titre de comparaison, la teneur naturelle dans les sols en France, dans la région Nord-Pas de Calais – dont les sols sont proches géologiquement de ceux de la Wallonie - a été mesurée avec une médiane de 0,16 mg/kg sur 271 échantillons de surface (source : Sterckeman T. et al, Référentiel pédo-géochimique du Nord-Pas de Calais, Etude et Gestion des sols, Volume 14, 2, 2007). 
Ce composé n’est pas attendu dans les eaux souterraines par lessivage car la majorité des composés du bismuth sont insolubles dans l’eau.</t>
  </si>
  <si>
    <t>comparaison des concentrations de la zone impactée avec valeurs représentatives du bruit de fond local (3 mesures hors impact présumé)</t>
  </si>
  <si>
    <t>métal alcalin pour lequel aucune donnée toxicologique n'est retrouvée dans la littérature. Très réactif, le lithium n’existe pas à l’état natif dans le milieu naturel mais uniquement sous forme de composés ioniques. En conséquence, comparer les concentrations obtenues à un bruit de fond local (moyenne sur 3 mesures)</t>
  </si>
  <si>
    <t>DDT</t>
  </si>
  <si>
    <t>-</t>
  </si>
  <si>
    <t>usages décret sols 5/12/2008</t>
  </si>
  <si>
    <t>usage I</t>
  </si>
  <si>
    <t>usage II</t>
  </si>
  <si>
    <t>usage III</t>
  </si>
  <si>
    <t>usage IV</t>
  </si>
  <si>
    <t>usage V</t>
  </si>
  <si>
    <t>I</t>
  </si>
  <si>
    <t>IIa</t>
  </si>
  <si>
    <t>IIb</t>
  </si>
  <si>
    <t>IIIa</t>
  </si>
  <si>
    <t>IIIb</t>
  </si>
  <si>
    <t>IVa</t>
  </si>
  <si>
    <t>IVb</t>
  </si>
  <si>
    <t>Vint</t>
  </si>
  <si>
    <t>Vext</t>
  </si>
  <si>
    <t>min(IVa;IVb;Vint;Vext)</t>
  </si>
  <si>
    <t>min (Vint; Vext)</t>
  </si>
  <si>
    <t>Groupe IARC</t>
  </si>
  <si>
    <t>Usage naturel</t>
  </si>
  <si>
    <t>Usage agricole (qualité productions agricoles)</t>
  </si>
  <si>
    <t>Usage agricole</t>
  </si>
  <si>
    <r>
      <t xml:space="preserve">Usage résidentiel </t>
    </r>
    <r>
      <rPr>
        <b/>
        <sz val="11"/>
        <color indexed="10"/>
        <rFont val="Calibri"/>
        <family val="2"/>
        <scheme val="minor"/>
      </rPr>
      <t>avec</t>
    </r>
    <r>
      <rPr>
        <b/>
        <sz val="11"/>
        <color indexed="62"/>
        <rFont val="Calibri"/>
        <family val="2"/>
        <scheme val="minor"/>
      </rPr>
      <t xml:space="preserve"> jardin potager</t>
    </r>
  </si>
  <si>
    <r>
      <t xml:space="preserve">Usage résidentiel </t>
    </r>
    <r>
      <rPr>
        <b/>
        <sz val="11"/>
        <color indexed="10"/>
        <rFont val="Calibri"/>
        <family val="2"/>
        <scheme val="minor"/>
      </rPr>
      <t>sans</t>
    </r>
    <r>
      <rPr>
        <b/>
        <sz val="11"/>
        <color indexed="62"/>
        <rFont val="Calibri"/>
        <family val="2"/>
        <scheme val="minor"/>
      </rPr>
      <t xml:space="preserve"> jardin potager</t>
    </r>
  </si>
  <si>
    <r>
      <t xml:space="preserve">Usage récréatif </t>
    </r>
    <r>
      <rPr>
        <b/>
        <sz val="11"/>
        <color indexed="10"/>
        <rFont val="Calibri"/>
        <family val="2"/>
        <scheme val="minor"/>
      </rPr>
      <t>avec</t>
    </r>
    <r>
      <rPr>
        <b/>
        <sz val="11"/>
        <color indexed="62"/>
        <rFont val="Calibri"/>
        <family val="2"/>
        <scheme val="minor"/>
      </rPr>
      <t xml:space="preserve"> bâti</t>
    </r>
  </si>
  <si>
    <r>
      <t xml:space="preserve">Usage récréatif </t>
    </r>
    <r>
      <rPr>
        <b/>
        <sz val="11"/>
        <color indexed="10"/>
        <rFont val="Calibri"/>
        <family val="2"/>
        <scheme val="minor"/>
      </rPr>
      <t>sans</t>
    </r>
    <r>
      <rPr>
        <b/>
        <sz val="11"/>
        <color indexed="62"/>
        <rFont val="Calibri"/>
        <family val="2"/>
        <scheme val="minor"/>
      </rPr>
      <t xml:space="preserve"> bâti</t>
    </r>
  </si>
  <si>
    <t>Usage industriel- Intérieur</t>
  </si>
  <si>
    <t>Usage industriel-extérieur</t>
  </si>
  <si>
    <t>Usage Récréatif/Commercial</t>
  </si>
  <si>
    <t>Usage Industriel</t>
  </si>
  <si>
    <t>NC</t>
  </si>
  <si>
    <t>2B</t>
  </si>
  <si>
    <t>2A</t>
  </si>
  <si>
    <t>Valeur paramétrique eau potable Wallonie (Annexes XIV et XXXI Code de l'Eau) - µg/L</t>
  </si>
  <si>
    <t>Norme d'assainissement Flandre (AGF 14/12/2007) - µg/L</t>
  </si>
  <si>
    <t>Norme d'intervention Bruxelles-Capitale (Arrêté du 8/10/2015) - µg/L</t>
  </si>
  <si>
    <t>VTR orale (mg/kg.j)</t>
  </si>
  <si>
    <t>VL nappe sélectionnée (µg/L)</t>
  </si>
  <si>
    <t>Origine VL nappe sélectionnée</t>
  </si>
  <si>
    <t>Code de l'Eau</t>
  </si>
  <si>
    <t>OMS (2011)</t>
  </si>
  <si>
    <t>US-EPA (MCL, 2015)</t>
  </si>
  <si>
    <t>Pays-Bas (2013)</t>
  </si>
  <si>
    <t>US-EPA (RSL, 2016)</t>
  </si>
  <si>
    <t>Calcul SPAQυE</t>
  </si>
  <si>
    <t>OEHHA (NL)</t>
  </si>
  <si>
    <t>Flandre (2007)</t>
  </si>
  <si>
    <t>Arrêté Bruxelles (2015)</t>
  </si>
  <si>
    <t>valeur minimale entre les 3 isomères</t>
  </si>
  <si>
    <t>700 ou 5000</t>
  </si>
  <si>
    <t>3.10-5</t>
  </si>
  <si>
    <t>US-EPA (MCL)</t>
  </si>
  <si>
    <t>pas de VTR</t>
  </si>
  <si>
    <t>Pays-Bas (2013) - niveau indicatif</t>
  </si>
  <si>
    <t>x</t>
  </si>
  <si>
    <t>EPA - RSL, May 2016</t>
  </si>
  <si>
    <t xml:space="preserve">PNN </t>
  </si>
  <si>
    <t>n° CAS</t>
  </si>
  <si>
    <t>recommandations</t>
  </si>
  <si>
    <t>composés organiques</t>
  </si>
  <si>
    <r>
      <t>approche précautionneuse en comparant les concentrations représentatives du o,p-DDT aux VL</t>
    </r>
    <r>
      <rPr>
        <vertAlign val="subscript"/>
        <sz val="10"/>
        <color theme="1"/>
        <rFont val="Verdana"/>
        <family val="2"/>
      </rPr>
      <t>H</t>
    </r>
    <r>
      <rPr>
        <sz val="10"/>
        <color theme="1"/>
        <rFont val="Verdana"/>
        <family val="2"/>
      </rPr>
      <t xml:space="preserve"> calculées pour le p,p-DDT. A noter que l’isomère p,p- est le plus représentatif d’un mélange de DDT commercial (environ 81% de p,p- et 19% de o,p-).</t>
    </r>
  </si>
  <si>
    <t>considérer la valeur limite du Code de l'Eau de 0.1 µg/l pour VL nappe</t>
  </si>
  <si>
    <t>composés inorganiques</t>
  </si>
  <si>
    <t>paramètre non pertinent de normer. Envisager la pertinence de doser l'ammonium et les nitrates dans les eaux souterraines</t>
  </si>
  <si>
    <t>composé naturel majoritaire dans le sol et dans l'eau souterraine, pas pertinent de calculer des valeurs limites</t>
  </si>
  <si>
    <t>7440-70-2</t>
  </si>
  <si>
    <t>micronutriment essentiel à l'alimentation, pour lequel aucune donnée de toxicité n'a été retrouvée dans la littérature.
aucune valeur limite n’a été établie pour les éléments majeurs présents dans les sols (calcium, potassium, magnésium, sodium, ammonium, phosphates, chlorures et sulfates) conformément à la position de l’EPA (référence : EPA (1989). “Risk assessment guidance for Superfund – Volume I – Human Health Evaluation Manual (Part A)”, page 5-23). En effet, l’EPA précise dans ce guide que « les substances considérées comme des éléments nutritifs pour l’homme ou qui ne pourraient être toxiques qu’à de très fortes doses (bien plus élevées que celles mesurées sur un site) ne sont pas prises en compte dans une évaluation des risques pour la santé humaine</t>
  </si>
  <si>
    <t>du fait de sa très forte solubilité, cette substance ne garde pas sa forme chimique initiale et se dissocie dans les sols pour former d’autres substances --&gt; doser les chlorures et le calcium dans l'eau souterraine</t>
  </si>
  <si>
    <t>du fait de sa très forte solubilité, cette substance ne garde pas sa forme chimique initiale et se dissocie dans les sols pour former d’autres substances --&gt; doser l'ammonium et les chlorures dans l'eau souterraine</t>
  </si>
  <si>
    <t>aucune valeur limite n’a été établie pour les éléments majeurs présents dans les sols (calcium, potassium, magnésium, sodium, ammonium, phosphates, chlorures et sulfates) conformément à la position de l’EPA (référence : EPA (1989). “Risk assessment guidance for Superfund – Volume I – Human Health Evaluation Manual (Part A)”, page 5-23). En effet, l’EPA précise dans ce guide que « les substances considérées comme des éléments nutritifs pour l’homme ou qui ne pourraient être toxiques qu’à de très fortes doses (bien plus élevées que celles mesurées sur un site) ne sont pas prises en compte dans une évaluation des risques pour la santé humaine</t>
  </si>
  <si>
    <t>phosphate</t>
  </si>
  <si>
    <t>paramètre à considérer uniquement dans les eaux souterraines.
aucune valeur limite n’a été établie pour les éléments majeurs présents dans les sols (calcium, potassium, magnésium, sodium, ammonium, phosphates, chlorures et sulfates) conformément à la position de l’EPA (référence : EPA (1989). “Risk assessment guidance for Superfund – Volume I – Human Health Evaluation Manual (Part A)”, page 5-23). En effet, l’EPA précise dans ce guide que « les substances considérées comme des éléments nutritifs pour l’homme ou qui ne pourraient être toxiques qu’à de très fortes doses (bien plus élevées que celles mesurées sur un site) ne sont pas prises en compte dans une évaluation des risques pour la santé humaine</t>
  </si>
  <si>
    <t>paramètre non pertinent de normer. Envisager la pertinence de doser les phosphates dans les eaux souterraines</t>
  </si>
  <si>
    <t>7440-09-7</t>
  </si>
  <si>
    <t>paramètre à considérer uniquement dans les eaux souterraines (VL nappe = 200 mg/l - origine: Code de l'Eau)
aucune valeur limite n’a été établie pour les éléments majeurs présents dans les sols (calcium, potassium, magnésium, sodium, ammonium, phosphates, chlorures et sulfates) conformément à la position de l’EPA (référence : EPA (1989). “Risk assessment guidance for Superfund – Volume I – Human Health Evaluation Manual (Part A)”, page 5-23). En effet, l’EPA précise dans ce guide que « les substances considérées comme des éléments nutritifs pour l’homme ou qui ne pourraient être toxiques qu’à de très fortes doses (bien plus élevées que celles mesurées sur un site) ne sont pas prises en compte dans une évaluation des risques pour la santé humaine</t>
  </si>
  <si>
    <t>paramètre non pertinent de normer. Envisager la pertinence de doser les sulfates dans les eaux souterraines et analyser la spéciation du soufre (sous quelles formes est il présent, quel est la nocivité des formes présentes ?)</t>
  </si>
  <si>
    <t>indices</t>
  </si>
  <si>
    <t>il n'est pas pertinent de proposer une norme pour une mesure de type indice reliée à un ou plusieurs composés organiques de propriétés potentiellement très différentes. On peut proposer une valeur signal de 5 mg/l dans l'eau souterraine (origine: conditions sectorielles d'exploitation des CET). Pour le sol, il convient de comparer les valeurs obtenues en zone impactée avec une moyenne locale en zone présumée non impactée</t>
  </si>
  <si>
    <t>N Kjeldahl</t>
  </si>
  <si>
    <t>paramètre indicateur global à interpréter</t>
  </si>
  <si>
    <t>Formule chimique</t>
  </si>
  <si>
    <t>Masse moléculaire</t>
  </si>
  <si>
    <t>Constante d'Henry H</t>
  </si>
  <si>
    <t>log Kow</t>
  </si>
  <si>
    <t>log Koc</t>
  </si>
  <si>
    <t>effets non cancérigènes à seuil</t>
  </si>
  <si>
    <t>effets cancérigènes sans seuil</t>
  </si>
  <si>
    <r>
      <t>BCF</t>
    </r>
    <r>
      <rPr>
        <vertAlign val="subscript"/>
        <sz val="10"/>
        <rFont val="Arial"/>
        <family val="2"/>
      </rPr>
      <t xml:space="preserve">pdt,dw -   </t>
    </r>
    <r>
      <rPr>
        <b/>
        <sz val="10"/>
        <rFont val="Arial"/>
        <family val="2"/>
      </rPr>
      <t>Facteur de transfert sol/pdt (poids sec/kg sol)</t>
    </r>
  </si>
  <si>
    <r>
      <t>BCF</t>
    </r>
    <r>
      <rPr>
        <vertAlign val="subscript"/>
        <sz val="10"/>
        <rFont val="Arial"/>
        <family val="2"/>
      </rPr>
      <t xml:space="preserve">pdt, fw  - </t>
    </r>
    <r>
      <rPr>
        <b/>
        <sz val="10"/>
        <rFont val="Arial"/>
        <family val="2"/>
      </rPr>
      <t>Facteur de transfert sol/pdt (poids frais/kg sol)</t>
    </r>
  </si>
  <si>
    <r>
      <t>BCF</t>
    </r>
    <r>
      <rPr>
        <vertAlign val="subscript"/>
        <sz val="10"/>
        <rFont val="Arial"/>
        <family val="2"/>
      </rPr>
      <t xml:space="preserve">leg-rac,dw  - </t>
    </r>
    <r>
      <rPr>
        <b/>
        <sz val="10"/>
        <rFont val="Arial"/>
        <family val="2"/>
      </rPr>
      <t>Facteur de transfert sol/légumes-racines (poids sec/kg sol)</t>
    </r>
  </si>
  <si>
    <r>
      <t>BCF</t>
    </r>
    <r>
      <rPr>
        <vertAlign val="subscript"/>
        <sz val="10"/>
        <rFont val="Arial"/>
        <family val="2"/>
      </rPr>
      <t xml:space="preserve">leg-rac, fw  - </t>
    </r>
    <r>
      <rPr>
        <b/>
        <sz val="10"/>
        <rFont val="Arial"/>
        <family val="2"/>
      </rPr>
      <t>Facteur de transfert sol/légumes-racines (poids frais/kg sol)</t>
    </r>
  </si>
  <si>
    <r>
      <t>BCF</t>
    </r>
    <r>
      <rPr>
        <vertAlign val="subscript"/>
        <sz val="10"/>
        <rFont val="Arial"/>
        <family val="2"/>
      </rPr>
      <t xml:space="preserve">leg-fe,dw - </t>
    </r>
    <r>
      <rPr>
        <b/>
        <sz val="10"/>
        <rFont val="Arial"/>
        <family val="2"/>
      </rPr>
      <t>Facteur de transfert sol/légumes-feuilles (poids sec/kg sol)</t>
    </r>
  </si>
  <si>
    <r>
      <t>BCF</t>
    </r>
    <r>
      <rPr>
        <vertAlign val="subscript"/>
        <sz val="10"/>
        <rFont val="Arial"/>
        <family val="2"/>
      </rPr>
      <t xml:space="preserve">leg-fe,fw -  </t>
    </r>
    <r>
      <rPr>
        <b/>
        <sz val="10"/>
        <rFont val="Arial"/>
        <family val="2"/>
      </rPr>
      <t>Facteur de transfert sol/légumes-feuilles (poids frais/kg sol)</t>
    </r>
  </si>
  <si>
    <r>
      <t>BCF</t>
    </r>
    <r>
      <rPr>
        <vertAlign val="subscript"/>
        <sz val="10"/>
        <rFont val="Arial"/>
        <family val="2"/>
      </rPr>
      <t xml:space="preserve">leg-fr,dw - </t>
    </r>
    <r>
      <rPr>
        <b/>
        <sz val="10"/>
        <rFont val="Arial"/>
        <family val="2"/>
      </rPr>
      <t>Facteur de transfert sol/légumes-fruits (poids sec/kg sol)</t>
    </r>
  </si>
  <si>
    <r>
      <t>BCF</t>
    </r>
    <r>
      <rPr>
        <vertAlign val="subscript"/>
        <sz val="10"/>
        <rFont val="Arial"/>
        <family val="2"/>
      </rPr>
      <t xml:space="preserve">leg-fr,fw - </t>
    </r>
    <r>
      <rPr>
        <b/>
        <sz val="10"/>
        <rFont val="Arial"/>
        <family val="2"/>
      </rPr>
      <t>Facteur de transfert sol/légumes-fruits (poids frais/kg sol)</t>
    </r>
  </si>
  <si>
    <r>
      <t>BTF</t>
    </r>
    <r>
      <rPr>
        <vertAlign val="subscript"/>
        <sz val="10"/>
        <rFont val="Arial"/>
        <family val="2"/>
      </rPr>
      <t>viande -</t>
    </r>
    <r>
      <rPr>
        <sz val="10"/>
        <rFont val="Arial"/>
        <family val="2"/>
      </rPr>
      <t xml:space="preserve"> </t>
    </r>
    <r>
      <rPr>
        <b/>
        <sz val="10"/>
        <rFont val="Arial"/>
        <family val="2"/>
      </rPr>
      <t>Facteur de facteur de biotransfert pour la viande (poids frais)</t>
    </r>
  </si>
  <si>
    <r>
      <t>BTF</t>
    </r>
    <r>
      <rPr>
        <vertAlign val="subscript"/>
        <sz val="10"/>
        <rFont val="Arial"/>
        <family val="2"/>
      </rPr>
      <t>lait -</t>
    </r>
    <r>
      <rPr>
        <sz val="10"/>
        <rFont val="Arial"/>
        <family val="2"/>
      </rPr>
      <t xml:space="preserve"> </t>
    </r>
    <r>
      <rPr>
        <b/>
        <sz val="10"/>
        <rFont val="Arial"/>
        <family val="2"/>
      </rPr>
      <t>Facteur de biotransfert pour le lait (poids frais)</t>
    </r>
  </si>
  <si>
    <t xml:space="preserve">   VTRor</t>
  </si>
  <si>
    <t xml:space="preserve">   VTRinh à seuil</t>
  </si>
  <si>
    <t>g/mole</t>
  </si>
  <si>
    <t>mg/L</t>
  </si>
  <si>
    <t>Pa</t>
  </si>
  <si>
    <r>
      <t>Pa.m</t>
    </r>
    <r>
      <rPr>
        <vertAlign val="superscript"/>
        <sz val="10"/>
        <rFont val="Arial"/>
        <family val="2"/>
      </rPr>
      <t>3</t>
    </r>
    <r>
      <rPr>
        <vertAlign val="subscript"/>
        <sz val="10"/>
        <rFont val="Arial"/>
        <family val="2"/>
      </rPr>
      <t>aq</t>
    </r>
    <r>
      <rPr>
        <sz val="10"/>
        <rFont val="Arial"/>
        <family val="2"/>
      </rPr>
      <t>/mol</t>
    </r>
    <r>
      <rPr>
        <vertAlign val="subscript"/>
        <sz val="10"/>
        <rFont val="Arial"/>
        <family val="2"/>
      </rPr>
      <t>aq</t>
    </r>
  </si>
  <si>
    <r>
      <t>m</t>
    </r>
    <r>
      <rPr>
        <vertAlign val="superscript"/>
        <sz val="10"/>
        <rFont val="Arial"/>
        <family val="2"/>
      </rPr>
      <t>2</t>
    </r>
    <r>
      <rPr>
        <sz val="10"/>
        <rFont val="Arial"/>
        <family val="2"/>
      </rPr>
      <t>/jr</t>
    </r>
  </si>
  <si>
    <t>l/kg</t>
  </si>
  <si>
    <t>mg/kg.j</t>
  </si>
  <si>
    <r>
      <t>mg/m</t>
    </r>
    <r>
      <rPr>
        <vertAlign val="superscript"/>
        <sz val="10"/>
        <rFont val="Arial"/>
        <family val="2"/>
      </rPr>
      <t>3</t>
    </r>
  </si>
  <si>
    <t>mg/kg.jr</t>
  </si>
  <si>
    <r>
      <t>(mg/kg</t>
    </r>
    <r>
      <rPr>
        <vertAlign val="subscript"/>
        <sz val="10"/>
        <rFont val="Arial"/>
        <family val="2"/>
      </rPr>
      <t>dw)</t>
    </r>
    <r>
      <rPr>
        <sz val="10"/>
        <rFont val="Arial"/>
        <family val="2"/>
      </rPr>
      <t>/(mg/kg</t>
    </r>
    <r>
      <rPr>
        <vertAlign val="subscript"/>
        <sz val="10"/>
        <rFont val="Arial"/>
        <family val="2"/>
      </rPr>
      <t>sol</t>
    </r>
    <r>
      <rPr>
        <sz val="10"/>
        <rFont val="Arial"/>
        <family val="2"/>
      </rPr>
      <t>)</t>
    </r>
  </si>
  <si>
    <r>
      <t>(mg/kg</t>
    </r>
    <r>
      <rPr>
        <vertAlign val="subscript"/>
        <sz val="10"/>
        <rFont val="Arial"/>
        <family val="2"/>
      </rPr>
      <t>fw)</t>
    </r>
    <r>
      <rPr>
        <sz val="10"/>
        <rFont val="Arial"/>
        <family val="2"/>
      </rPr>
      <t>/(mg/kg</t>
    </r>
    <r>
      <rPr>
        <vertAlign val="subscript"/>
        <sz val="10"/>
        <rFont val="Arial"/>
        <family val="2"/>
      </rPr>
      <t>sol</t>
    </r>
    <r>
      <rPr>
        <sz val="10"/>
        <rFont val="Arial"/>
        <family val="2"/>
      </rPr>
      <t>)</t>
    </r>
  </si>
  <si>
    <r>
      <t>(mg</t>
    </r>
    <r>
      <rPr>
        <vertAlign val="subscript"/>
        <sz val="10"/>
        <rFont val="Arial"/>
        <family val="2"/>
      </rPr>
      <t>polluant</t>
    </r>
    <r>
      <rPr>
        <sz val="10"/>
        <rFont val="Arial"/>
        <family val="2"/>
      </rPr>
      <t>/kg</t>
    </r>
    <r>
      <rPr>
        <vertAlign val="subscript"/>
        <sz val="10"/>
        <rFont val="Arial"/>
        <family val="2"/>
      </rPr>
      <t>viande</t>
    </r>
    <r>
      <rPr>
        <sz val="10"/>
        <rFont val="Arial"/>
        <family val="2"/>
      </rPr>
      <t>)/(mg</t>
    </r>
    <r>
      <rPr>
        <vertAlign val="subscript"/>
        <sz val="10"/>
        <rFont val="Arial"/>
        <family val="2"/>
      </rPr>
      <t>polluant</t>
    </r>
    <r>
      <rPr>
        <sz val="10"/>
        <rFont val="Arial"/>
        <family val="2"/>
      </rPr>
      <t>/jr)</t>
    </r>
  </si>
  <si>
    <r>
      <t>(mg</t>
    </r>
    <r>
      <rPr>
        <vertAlign val="subscript"/>
        <sz val="10"/>
        <rFont val="Arial"/>
        <family val="2"/>
      </rPr>
      <t>polluant</t>
    </r>
    <r>
      <rPr>
        <sz val="10"/>
        <rFont val="Arial"/>
        <family val="2"/>
      </rPr>
      <t>/kg</t>
    </r>
    <r>
      <rPr>
        <vertAlign val="subscript"/>
        <sz val="10"/>
        <rFont val="Arial"/>
        <family val="2"/>
      </rPr>
      <t>lait</t>
    </r>
    <r>
      <rPr>
        <sz val="10"/>
        <rFont val="Arial"/>
        <family val="2"/>
      </rPr>
      <t>)/(mg</t>
    </r>
    <r>
      <rPr>
        <vertAlign val="subscript"/>
        <sz val="10"/>
        <rFont val="Arial"/>
        <family val="2"/>
      </rPr>
      <t>polluant</t>
    </r>
    <r>
      <rPr>
        <sz val="10"/>
        <rFont val="Arial"/>
        <family val="2"/>
      </rPr>
      <t>/jr)</t>
    </r>
  </si>
  <si>
    <r>
      <t>C</t>
    </r>
    <r>
      <rPr>
        <vertAlign val="subscript"/>
        <sz val="10"/>
        <rFont val="Arial"/>
        <family val="2"/>
      </rPr>
      <t>6</t>
    </r>
    <r>
      <rPr>
        <sz val="10"/>
        <rFont val="Arial"/>
        <family val="2"/>
      </rPr>
      <t>H</t>
    </r>
    <r>
      <rPr>
        <vertAlign val="subscript"/>
        <sz val="10"/>
        <rFont val="Arial"/>
        <family val="2"/>
      </rPr>
      <t>5</t>
    </r>
    <r>
      <rPr>
        <sz val="10"/>
        <rFont val="Arial"/>
        <family val="2"/>
      </rPr>
      <t>Cl</t>
    </r>
  </si>
  <si>
    <t>Mackay et al., 2006</t>
  </si>
  <si>
    <t>Lide (2009-2010).CRC Handbook of Chemistry and Physics. David R. Lide Editor-in-Chief 90th Edition (chap,3 p92)</t>
  </si>
  <si>
    <t>MACKAY Second Edition. Hanbook Of Physical-Chemical Properties and Environmental Fate for Organic Chemicals- Calcul sur base de l'équation IUPAC à 10°C, 1985 [283-363 K]</t>
  </si>
  <si>
    <t>MACKAY Second Edition. Hanbook Of Physical-Chemical Properties and Environmental Fate for Organic Chemicals- Sur 3 équations (range 10 °C: 700/673/654 Pa)), la valeur la plus précautionneuse est retenue : Antoine/Weast, 1972 [-13 à 249,8]</t>
  </si>
  <si>
    <t>Lijzen, J.P.A, A.J. Baars, P.F. Otte, M.G.J. Rikken, F.A. Swartjes, E.M.J. Verbrµggen, A.P. van Wezel. (2001). Technical evaluation of the Intervention Values for soil/sediment and groundwater. Human and ecotoxicological risk assessment and derivation of risk limits for soil, aquatic sediment, and groundwater. RIVM Report n° 711701 023, Bilthoven, The Netherlands.</t>
  </si>
  <si>
    <t>Lide (2009-2010). CRC Handbook of Chemistry and Physics. David R.Lide Editor-in-Chief 90th Edition</t>
  </si>
  <si>
    <t>MACKAY Second Edition, volume 2 p1262. Hanbook Of Physical-Chemical Properties and Environmental Fate for Organic Chemicals. Moyenne géométrique, les valeurs proposées pour les sédiments et la zéolites, ainsi que les zéolites ont été éliminées.</t>
  </si>
  <si>
    <t xml:space="preserve">, </t>
  </si>
  <si>
    <t>US-EPA-IRIS (1993)</t>
  </si>
  <si>
    <t>OMS (2000)</t>
  </si>
  <si>
    <r>
      <t>C</t>
    </r>
    <r>
      <rPr>
        <vertAlign val="subscript"/>
        <sz val="10"/>
        <rFont val="Arial"/>
        <family val="2"/>
      </rPr>
      <t>6</t>
    </r>
    <r>
      <rPr>
        <sz val="10"/>
        <rFont val="Arial"/>
        <family val="2"/>
      </rPr>
      <t>H</t>
    </r>
    <r>
      <rPr>
        <vertAlign val="subscript"/>
        <sz val="10"/>
        <rFont val="Arial"/>
        <family val="2"/>
      </rPr>
      <t>4</t>
    </r>
    <r>
      <rPr>
        <sz val="10"/>
        <rFont val="Arial"/>
        <family val="2"/>
      </rPr>
      <t>Cl</t>
    </r>
    <r>
      <rPr>
        <vertAlign val="subscript"/>
        <sz val="10"/>
        <rFont val="Arial"/>
        <family val="2"/>
      </rPr>
      <t>2</t>
    </r>
  </si>
  <si>
    <t>Lide (2009-2010). CRC Handbook of Chemistry and Physics. David R. Lide Editor-in-Chief 90th Edition 2009-2010 (chap.3 p150)</t>
  </si>
  <si>
    <t>MACKAY Second Edition. Hanbook Of Physical-Chemical Properties and Environmental Fate for Organic Chemicals- Calcul sur base de l'équation IUPAC à 10°C [273-333 K]</t>
  </si>
  <si>
    <t>Lide (2009-2010). CRC Handbook of Chemistry and Physics. David R.Lide Editor-in-Chief 90th Edition - Calcul basé sur équation de régression à 10 °C</t>
  </si>
  <si>
    <t>MACKAY Second edition, volume 2 (p 1271).Handbook of Physical-Chemical Properties and Environmental Fate for Organic Chmicals. Moyenne géométrique. Les valeurs pour les sédiments et les zéolites, ainsi que pour les range ont étées éliminées.</t>
  </si>
  <si>
    <t>US-EPA-IRIS</t>
  </si>
  <si>
    <t>RIVM</t>
  </si>
  <si>
    <t>C6H4Cl2</t>
  </si>
  <si>
    <t>Lide (2009-2010). CRC Handbook of Chemistry and Physics. David R. Lide Editot-in-Chief 90th Edition 2009-2010. (chap3 p150)</t>
  </si>
  <si>
    <t>Lide (2009-2010) - CRC Handbook of Chemistry and Physics David R. Lide editor-in-Cheif, 90th Edition 2009-2010 - Valeur à 10°C</t>
  </si>
  <si>
    <t>Mackay second edition, volume 2.Handbook of Physical-Chemical Properties and Environmental Fate for Organic Chemicals. Equation d'Antoine/pressure gauge Polednicek [273-323 K] - calculée à 10 °C</t>
  </si>
  <si>
    <t>MACKAY second edition, volume 2 p 1290. Handbook of Physical-Chemical Properties and Environmental Fate for Organic Chemicals. Moyenne géométrique.Les valeurs proposées pour les sédiments et les zéolites, ainsi que pour les range ont été éliminées.</t>
  </si>
  <si>
    <t>ATSDR</t>
  </si>
  <si>
    <t>OEHHA - OSF = 4e-2 (mg/kg.j)-1</t>
  </si>
  <si>
    <t>OEHHA - unit risk = 1,1E-5 (µg/m3)-1</t>
  </si>
  <si>
    <t>C6H3Cl3</t>
  </si>
  <si>
    <t>Lide (2000). Handbook of Chemistry and Physics. 81th Edition. 2000-2001. CRC Press, New York.</t>
  </si>
  <si>
    <t>LIDE (2009-2010). Handbook of Chemistry and Physics. 90th Edition. 2009-2010. CRC Press, New York.</t>
  </si>
  <si>
    <t>Santé Canada (2004)</t>
  </si>
  <si>
    <t>Lide (2000). Handbook of Chemistry and Physics. 81th Edition. 2000-2001. CRC Press, New York - Valeur à 15°C</t>
  </si>
  <si>
    <t>MACKAY Second Edition. Hanbook Of Physical-Chemical Properties and Environmental Fate for Organic Chemicals- équation de Antoine/Stephenson à 10 °C(1987)-range [279-290 K]</t>
  </si>
  <si>
    <r>
      <t>C</t>
    </r>
    <r>
      <rPr>
        <vertAlign val="subscript"/>
        <sz val="10"/>
        <rFont val="Arial"/>
        <family val="2"/>
      </rPr>
      <t>6</t>
    </r>
    <r>
      <rPr>
        <sz val="10"/>
        <rFont val="Arial"/>
        <family val="2"/>
      </rPr>
      <t>H</t>
    </r>
    <r>
      <rPr>
        <vertAlign val="subscript"/>
        <sz val="10"/>
        <rFont val="Arial"/>
        <family val="2"/>
      </rPr>
      <t>2</t>
    </r>
    <r>
      <rPr>
        <sz val="10"/>
        <rFont val="Arial"/>
        <family val="2"/>
      </rPr>
      <t>Cl</t>
    </r>
    <r>
      <rPr>
        <vertAlign val="subscript"/>
        <sz val="10"/>
        <rFont val="Arial"/>
        <family val="2"/>
      </rPr>
      <t>4</t>
    </r>
  </si>
  <si>
    <t xml:space="preserve">MACKAY Second Edition. Hanbook Of Physical-Chemical Properties and Environmental Fate for Organic Chemicals- pas de valeur/équation à 10 °C- valeur à 15°C </t>
  </si>
  <si>
    <t>Verschueren - Handbookof Environmental dat on organic chemicals -3rd edition (1996)- pas de valeur/équation dans Lide et MacKay- Valeur à 20 °C</t>
  </si>
  <si>
    <t xml:space="preserve">MACKAY second edition Handbook of Physical-Chemical Properties and Environmental Fate for Organic Chemicals. Moyenne géométrique. Les valeurs proposées pour les sédiments et les zéolites, ainsi que pour les range ont étées éliminées. </t>
  </si>
  <si>
    <r>
      <t>C</t>
    </r>
    <r>
      <rPr>
        <vertAlign val="subscript"/>
        <sz val="10"/>
        <rFont val="Arial"/>
        <family val="2"/>
      </rPr>
      <t>6</t>
    </r>
    <r>
      <rPr>
        <sz val="10"/>
        <rFont val="Arial"/>
        <family val="2"/>
      </rPr>
      <t>H</t>
    </r>
    <r>
      <rPr>
        <vertAlign val="subscript"/>
        <sz val="10"/>
        <rFont val="Arial"/>
        <family val="2"/>
      </rPr>
      <t>2Cl4</t>
    </r>
  </si>
  <si>
    <t>MACKAY Second Edition. Hanbook Of Physical-Chemical Properties and Environmental Fate for Organic Chemicals- pas de valeur/équation à 10 °C- valeur à 15°C  (Shiu, 1997)</t>
  </si>
  <si>
    <t>MACKAY Second Edition. Hanbook Of Physical-Chemical Properties and Environmental Fate for Organic Chemicals- pas de valeur/équation à 10 °C- valeur à 17°C (Blok, 2001)</t>
  </si>
  <si>
    <t xml:space="preserve">MACKAY second edition, Handbook of Physical-Chemical Properties and Environmental Fate for Organic Chemicals. Moyenne géométrique. Les valeurs proposées pour les sédiments et les zéolites, ainsi que pour les range ont étées éliminées. </t>
  </si>
  <si>
    <t>C6HCl5</t>
  </si>
  <si>
    <t>CRC Hanbook of Chemistry and Physics. David R. Lide Editor-in-Chief, 90th Edition 2009-2010 (chap 3 p 412)</t>
  </si>
  <si>
    <t>MACKAY Second Edition. Hanbook Of Physical-Chemical Properties and Environmental Fate for Organic Chemicals- pas de valeur/équation à 10 °C- valeur à 15°C  (Shiu &amp; Ma)</t>
  </si>
  <si>
    <t>MACKAY Second Edition. Hanbook Of Physical-Chemical Properties and Environmental Fate for Organic Chemicals-calcul sur base de l'équation de Rohac à 10 °C</t>
  </si>
  <si>
    <t>Kreule (1995) cité par l'OVAM dans AANVULLING BIJ BASISINFORMATIE VOOR RISICO-EVALUATIES - Polyaromatische koolwaterstoffen en MTBE - Juni 2003</t>
  </si>
  <si>
    <t xml:space="preserve">MACKAY second edition, volume 2, p1338. Handbook of Physical-Chemical Properties and Environmental Fate for Organic Chemicals. Moyenne géométrique. Les valeurs proposées pour les sédiments et les zéolites, ainsi que pour les range ont étées éliminées. </t>
  </si>
  <si>
    <t>US-EPA-IRIS ()</t>
  </si>
  <si>
    <t>C6Cl6</t>
  </si>
  <si>
    <t>CRC Handbook of Chemistry and Physics. David R. Lide Editor-in-Chief 90th Edition 2009-2010. (chap8 p 104)</t>
  </si>
  <si>
    <t>MACKAY Second Edition. Hanbook Of Physical-Chemical Properties and Environmental Fate for Organic Chemicals- pas de valeur/équation à 10 °C- valeur à 15°C  (OECD)</t>
  </si>
  <si>
    <t>MACKAY Second Edition. Hanbook Of Physical-Chemical Properties and Environmental Fate for Organic Chemicals-calcul sur base de l'équation de Wania à 10 °C [-30 à 40°C]</t>
  </si>
  <si>
    <t>MaCKAY second edition, volume 2 p 1346-p1347). Handbook of Physical-Chemical Prooperties and Environmental Fate for Organic Chemicals. Moyenne géométrique. Les valeurs proposées pour les sédiments et les zéolites, ainsi que pour les range n'ont pas étées prises en compte dans le calcul de la moyenne géométrique.</t>
  </si>
  <si>
    <t>OEHHA - oral slope factor = 1,8 (mg/kg.j)-1</t>
  </si>
  <si>
    <t>OEHHA - unit risk = 5,1e-4 (µg/m3)-1</t>
  </si>
  <si>
    <t>C7H8O</t>
  </si>
  <si>
    <t>Lide (2009-2010). Handbook of Chemistry and Physics. David R. Lide Editor-in-Chief 90th Edition 2009-2010</t>
  </si>
  <si>
    <t xml:space="preserve">MaCKAY second edition, volume 3 p 2796. Handbook Physical-Chemical Properties and Environmental Fate for Organic Chemicals. Moyenne Géométrique. </t>
  </si>
  <si>
    <t>US EPA-IRIS () - RIVM</t>
  </si>
  <si>
    <t>MACKAY second edition, volume 3 p 2814. Handbook of Physical-Chemical Properties and Environmental Fate for Ogranic Chemicals. Moyenne Geométrique. Les valeurs proposées pour les sédiments et les zéolites, ainsi que pour les renga ont étées éliminées.</t>
  </si>
  <si>
    <t>C8H10O</t>
  </si>
  <si>
    <t>Lide (2000). Handbook of Chemistry and Physics. 81th Edition. 2000-2001. CRC Press, New York. Pas de valeur à 10°C - Valeur à 25°C</t>
  </si>
  <si>
    <t>MACKAY Second Edition. Hanbook Of Physical-Chemical Properties and Environmental Fate for Organic Chemicals-calcul sur base de l'équation de Antoine à 10 °C [9-45°C] - 1960</t>
  </si>
  <si>
    <t>pas de valeur dans Lijzen</t>
  </si>
  <si>
    <t>US EPA-IRIS</t>
  </si>
  <si>
    <t>Lide (2000). Handbook of Chemistry and Physics. 81th Edition. 2000-2001. CRC Press, New York. Pas de valeur/équation dans Lide/MacKay à 10 °C - Valeur à 25°C</t>
  </si>
  <si>
    <t>Lide (2000). Handbook of Chemistry and Physics. 81th Edition. 2000-2001. CRC Press, New York. Régression linéaire</t>
  </si>
  <si>
    <t>Valeur calculée à partir de Kow</t>
  </si>
  <si>
    <t>Lide (2000). Handbook of Chemistry and Physics. 81th Edition. 2000-2001. CRC Press, New York. Valeur à 25°C (pas de valeur/équation dans Lide/MacKay à 10°C)</t>
  </si>
  <si>
    <r>
      <t>C</t>
    </r>
    <r>
      <rPr>
        <vertAlign val="subscript"/>
        <sz val="10"/>
        <rFont val="Arial"/>
        <family val="2"/>
      </rPr>
      <t>6</t>
    </r>
    <r>
      <rPr>
        <sz val="10"/>
        <rFont val="Arial"/>
        <family val="2"/>
      </rPr>
      <t>H</t>
    </r>
    <r>
      <rPr>
        <vertAlign val="subscript"/>
        <sz val="10"/>
        <rFont val="Arial"/>
        <family val="2"/>
      </rPr>
      <t>5</t>
    </r>
    <r>
      <rPr>
        <sz val="10"/>
        <rFont val="Arial"/>
        <family val="2"/>
      </rPr>
      <t>ClO</t>
    </r>
  </si>
  <si>
    <t>MACKAY second edition. Handbook of Physical-Chemical Properties and Envionmental Fate for Organic Chemcals. Pas de valeur/équation à 10°C dans Lide/mackay. Valeur à 15,4°C (Achard, 1996)</t>
  </si>
  <si>
    <t>MACKAY second edition. Handbook of Physical-Chemical Properties and Envionmental Fate for Organic Chemcals. Pas de valeur/équation à 10°C dans Lide/Mackay. Calcul à 12°C sur équation d'Antoine - range (12,1-174,5°C)</t>
  </si>
  <si>
    <t>MACKAY second edition, volume 2 p 1290. Handbook of Physical-Chemical Properties and Environmental Fate for Organic Chemicals. Moyenne géométrique</t>
  </si>
  <si>
    <r>
      <t>C</t>
    </r>
    <r>
      <rPr>
        <vertAlign val="subscript"/>
        <sz val="10"/>
        <rFont val="Arial"/>
        <family val="2"/>
      </rPr>
      <t>6</t>
    </r>
    <r>
      <rPr>
        <sz val="10"/>
        <rFont val="Arial"/>
        <family val="2"/>
      </rPr>
      <t>H</t>
    </r>
    <r>
      <rPr>
        <vertAlign val="subscript"/>
        <sz val="10"/>
        <rFont val="Arial"/>
        <family val="2"/>
      </rPr>
      <t>4</t>
    </r>
    <r>
      <rPr>
        <sz val="10"/>
        <rFont val="Arial"/>
        <family val="2"/>
      </rPr>
      <t>Cl</t>
    </r>
    <r>
      <rPr>
        <vertAlign val="subscript"/>
        <sz val="10"/>
        <rFont val="Arial"/>
        <family val="2"/>
      </rPr>
      <t>2</t>
    </r>
    <r>
      <rPr>
        <sz val="10"/>
        <rFont val="Arial"/>
        <family val="2"/>
      </rPr>
      <t>O</t>
    </r>
  </si>
  <si>
    <t>CRC Handbook of Chemistry and Physics. David R. Lide Editor-in-Chief 90th Edition 2009-2010. (chap 3 p 158)</t>
  </si>
  <si>
    <t>MACKAY second edition, volume 3 p 2893. Handbook of Physical-Chmical Properties and Environmental Fate for Organic Chemicals.pas de valeur/équation à 10°C - valeur pour une température de 15,3°C (Achard, 1996)</t>
  </si>
  <si>
    <t>MACKAY second edition, volume 3 p 2893. Handbook of Physical-Chmical Properties and Environmental Fate for Organic Chemicals. La valeur de Vp est valable pour une température de 25°C (pas de valeur/équation à 10°C)</t>
  </si>
  <si>
    <t>MACKAY second edition, volume 3 p 2894. Handbook of Physical-Chemical Properties Fate for Organic Chemicals. Moyenne Géométrique. Les valeurs proposées pour les sédiments et les zéolites, ainsi que pour les range n'ont pas étées prises en compte dans le calcul de la moyenne géométrique.</t>
  </si>
  <si>
    <r>
      <t>C</t>
    </r>
    <r>
      <rPr>
        <vertAlign val="subscript"/>
        <sz val="10"/>
        <rFont val="Arial"/>
        <family val="2"/>
      </rPr>
      <t>6</t>
    </r>
    <r>
      <rPr>
        <sz val="10"/>
        <rFont val="Arial"/>
        <family val="2"/>
      </rPr>
      <t>H</t>
    </r>
    <r>
      <rPr>
        <vertAlign val="subscript"/>
        <sz val="10"/>
        <rFont val="Arial"/>
        <family val="2"/>
      </rPr>
      <t>2</t>
    </r>
    <r>
      <rPr>
        <sz val="10"/>
        <rFont val="Arial"/>
        <family val="2"/>
      </rPr>
      <t>Cl</t>
    </r>
    <r>
      <rPr>
        <vertAlign val="subscript"/>
        <sz val="10"/>
        <rFont val="Arial"/>
        <family val="2"/>
      </rPr>
      <t>3</t>
    </r>
    <r>
      <rPr>
        <sz val="10"/>
        <rFont val="Arial"/>
        <family val="2"/>
      </rPr>
      <t>OH</t>
    </r>
  </si>
  <si>
    <t>Lide (2000). Handbook of Chemistry and Physics. 81th Edition. 2000-2001. CRC Press, New York. Valeur à 20°C (pas de valeur/équation à 10°C)</t>
  </si>
  <si>
    <t>MACKAY  second edition, volume 3 p 2912. Handbook of Physical-Chemical Properties and Environental Fate for Organic Chemicals. Pas de valeur/équation à 10°C- Valeur de Antoine/Stephenson à 25°C (1987)</t>
  </si>
  <si>
    <t>Shiu et al., 1994 - measured</t>
  </si>
  <si>
    <t>MACKAY second edition, volume 3 p 2911. Handbook of Physical-Chemical Properties and Environmental Fate for Organic Chemicals. Moyenne géométrique.</t>
  </si>
  <si>
    <t>MACKAY  second edition, volume 3 p 2912. Handbook of Physical-Chemical Properties and Environental Fate for Organic Chemicals. Moyenne géométrique. Les valeurs pour les sédiments et les zéolites, ainsi quie pour les range ont étées éliminées.</t>
  </si>
  <si>
    <t>US EPA - IRIS</t>
  </si>
  <si>
    <t>CRC Handbook of Chemistry and Physics.David R. Lide Editor-in-Chief 90th Edition 2009-2010</t>
  </si>
  <si>
    <t>MACKAY second edition, volume 3 p 2893. Handbook of Physical-Chmical Properties and Environmental Fate for Organic Chemicals.pas de valeur/équation à 10°C - valeur pour une température de 19,5°C (Achard, 1996)</t>
  </si>
  <si>
    <t>MACKAY  second edition, volume 3 p 2912. Handbook of Physical-Chemical Properties and Environental Fate for Organic Chemicals. Pas de valeur/équation à 10°C- Valeur de Schmidt à 20°C (1982)</t>
  </si>
  <si>
    <t>OEHHA - oral slope factor de 7e-2 (mg/kg.j)-1</t>
  </si>
  <si>
    <t>OEHHA - unit risk de 2e-5 (µg/m3)-1</t>
  </si>
  <si>
    <t>C6H2Cl4O</t>
  </si>
  <si>
    <t>CRC Handbook of Chemistry and Physics.David R. Lide Editor-in-Chief 90th Edition 2009-2010 - pas de valeur/équation à 10°C- Valeur à 25°C</t>
  </si>
  <si>
    <t>MACKAY second edition, volume 3 p 2922-p2923. Handbook of Physical-Chemical Properties and Environmental Fate for Organic Chemicals. Pas d evaleur/équation à 10°C -Valeur de Antoine/Stephenson à 25°C (1987)</t>
  </si>
  <si>
    <t>MACKAY second edition, volume 3 p 2923-p2924. Handbook of Physical-Chemical Properties and Environmental Fate for Organic Chemicals. Moyenne géométrique.</t>
  </si>
  <si>
    <t>Santé Canada</t>
  </si>
  <si>
    <t>C6HCl5O</t>
  </si>
  <si>
    <t xml:space="preserve">CRC Handbook of Chemistry and Physics. David R. Lide Editor-in-Chief 90th Edition 2009-2010 </t>
  </si>
  <si>
    <t>C2H5Cl</t>
  </si>
  <si>
    <t>C9H12</t>
  </si>
  <si>
    <t>C11H10</t>
  </si>
  <si>
    <t>MACKAY second edition- Handbook of Physical-Chemical Properties and Environmental Fate for Organic Chemicals.</t>
  </si>
  <si>
    <t>MACKAY second edition- Handbook of Physical-Chemical Properties and Environmental Fate for Organic Chemicals- Equation de Yaws (1994)- range 243-722 K- calcul à 10°C</t>
  </si>
  <si>
    <t>MACKAY second edition- Handbook of Physical-Chemical Properties and Environmental Fate for Organic Chemicals- valeur issue d'un sol</t>
  </si>
  <si>
    <t>ATSDR (MRL chronique établie en 2005)</t>
  </si>
  <si>
    <t>CRC Handbook of Chemistry and Physics. David R. Lide Editor-in-Chief 90th Edition 2009-2010  - à 25 °C</t>
  </si>
  <si>
    <t>MACKAY second edition- Handbook of Physical-Chemical Properties and Environmental Fate for Organic Chemicals- pas de valeur ou équation à 10 °C - valeur à 20 °C</t>
  </si>
  <si>
    <t>MACKAY second edition- Handbook of Physical-Chemical Properties and Environmental Fate for Organic Chemicals- moyenne géométrique de 3 valeurs issues de sédiments (seules données)</t>
  </si>
  <si>
    <t>Paramètres physico-chimiques synthétisés dans Lijzen et al. (2001)</t>
  </si>
  <si>
    <t>EPA (RfD établie en 2003)</t>
  </si>
  <si>
    <t>C2H2Cl2</t>
  </si>
  <si>
    <t>Lide (2009). Handbook of Chemistry and Physics. 90th Edition. 2009-2010. CRC Press, New York.</t>
  </si>
  <si>
    <t>Lide (2009). Handbook of Chemistry and Physics. 90th Edition. 2009-2010. CRC Press, New York.
Valeur à 25°C recommandée par l'IUPAC-NIST</t>
  </si>
  <si>
    <t xml:space="preserve">La valeur de Vp  à 10°C peut s'estimer à partir des données de LIDE (2009-2010) grâce à la régression établie à partir de ces valeurs </t>
  </si>
  <si>
    <t>Mackay, 2006 - Volume II
Valeur calculée par rapport au Kow proposée à 25°C</t>
  </si>
  <si>
    <t>OEHHA</t>
  </si>
  <si>
    <t>CHBr3</t>
  </si>
  <si>
    <t>US EPA (IRIS)</t>
  </si>
  <si>
    <t>CHBr2Cl</t>
  </si>
  <si>
    <t>Mackay, 2006 - Volume II
Valeur à 20°C</t>
  </si>
  <si>
    <t>Mackay, 2006 - Volume II
Moyene géométrique de 5 valeurs proposées à 25°C (les valeurs proposées pour les sédiments ont été éliminées)</t>
  </si>
  <si>
    <t>Valeur calculée d'après l'équation de Karickhoff (1981) : Koc = 0,411 x Kow</t>
  </si>
  <si>
    <t>OEHHA - unit risk de 2,7e-5 (µg/m3)-1</t>
  </si>
  <si>
    <t>C24H38O4</t>
  </si>
  <si>
    <t>Lide (2009). Handbook of Chemistry and Physics. 90th Edition. 2009-2010. CRC Press, New York.- idem HSDB-ATSDR-Mackay</t>
  </si>
  <si>
    <t xml:space="preserve">Valeur de 3.10-3 mg/L de Mackay, 2006 - Volume III retenue par erreur - valeur Lide retenue = valeur HSDB  à 25 °C
Valeur à 25°C </t>
  </si>
  <si>
    <t>Mackay, 2006 - Volume III - 
Valeur calculée à 10°C à partir de l'équation de Antoine donnée pour une gamme de température allant de 10 à 50°C- Si calcul à 25°C, on aurait 1,87.10-7 mmHg -&gt; Valeur cohérente avec HSDB (1,42.10-7 mmHg à 25°C) et avec ATSDR (1.10-7 mmHg à 25°C)</t>
  </si>
  <si>
    <t>Mackay, 2006 - Volume III
Moyene géométrique de 18 valeurs proposées à 25°C (les valeurs proposées pour les sédiments ont été éliminées)</t>
  </si>
  <si>
    <t>Mackay, 2006 - Volume III
Moyene géométrique de 9 valeurs proposées à 25°C (les valeurs proposées pour les sédiments ont été éliminées)</t>
  </si>
  <si>
    <t>faiblement volatil - Exposition par inhalation non pertinente (RIVM)</t>
  </si>
  <si>
    <t>US-EPA - Oral slope factor de 1,4.10-2 (mg/kg.j)-1</t>
  </si>
  <si>
    <t>OEHHA - unit risk de 2,4e-6 (µg/m3)-1</t>
  </si>
  <si>
    <t>C12H10</t>
  </si>
  <si>
    <t>Mackay, 2006 - Volume I
Valeur à 25°C</t>
  </si>
  <si>
    <t>Mackay, 2006 - Volume I
Valeur à 14,9°C (Burkard et al., 1984)</t>
  </si>
  <si>
    <t>Lijzen, J.P.A, A.J. Baars, P.F. Otte, M.G.J. Rikken, F.A. Swartjes, E.M.J. Verbrµggen, A.P. van Wezel. (2001). Technical evaluation of the Intervention Values for soil/sediment and groundwater. Human and ecotoxicological risk assessment and derivation of risk limits for soil, aquatic sediment, and groundwater. RIVM Report n° 711701 023, Bilthoven, The Netherlands. Par analogie aux HAP.</t>
  </si>
  <si>
    <t>Mackay, 2006 - Volume I
Moyene géométrique de 13 valeurs proposées pour des sols</t>
  </si>
  <si>
    <t>US EPA 2013</t>
  </si>
  <si>
    <t>CHBrCl2</t>
  </si>
  <si>
    <t>Mackay, 2006 - Volume II
Moyenne géométrique 2 valeurs à 20°C</t>
  </si>
  <si>
    <t>Mackay, 2006 - Volume II
Moyenne géométrique 4 valeurs</t>
  </si>
  <si>
    <t>Mackay, 2006 - Volume II
Moyenne géométrique 2 valeurs</t>
  </si>
  <si>
    <t>US EPA 1991</t>
  </si>
  <si>
    <t>US EPA 1993</t>
  </si>
  <si>
    <t>C23H22ClF3O2</t>
  </si>
  <si>
    <t>Lide (2009). Handbook of Chemistry and Physics. 90th Edition. 2009-2010. CRC Press, New York. Valeur à 25°C.</t>
  </si>
  <si>
    <t>fiche INRS</t>
  </si>
  <si>
    <t>TOXNET-HSDB</t>
  </si>
  <si>
    <t>US EPA 1988</t>
  </si>
  <si>
    <t>C7H7Cl</t>
  </si>
  <si>
    <t xml:space="preserve"> Lide (2009). Handbook of Chemistry and Physics. 90th Edition. 2009-2010. CRC Press, New York.</t>
  </si>
  <si>
    <t xml:space="preserve"> Lide (2009). Handbook of Chemistry and Physics. 90th Edition. 2009-2010. CRC Press, New York. - valeur à 25°C (Mackay donne 97,1 mg/L à 15°C)</t>
  </si>
  <si>
    <t>La valeur de Vp  à 10°C estimée à partir de l'équation d'Antoine-Weast - Mackay (2006) - range 5,4 à 159 °C</t>
  </si>
  <si>
    <t>LIDE (2009-2010). Handbook of Chemistry and Physics. 90th Edition. 2009-2010. CRC Press, New York.Valeur identique HSDB, Verschueren, Mackay</t>
  </si>
  <si>
    <t>pas de valeur dans littérature - Valeur Log Koc calculée à partir de Log Kow (Koc = 0.411 x Kow)</t>
  </si>
  <si>
    <t>US-EPA (1990)</t>
  </si>
  <si>
    <t>C6H5Br</t>
  </si>
  <si>
    <t>Lide (2009-2010) à 10°C et Mackay (2006) - Valeur IUPAC recommandée à 10°C</t>
  </si>
  <si>
    <t>La valeur de Vp  à 10°C a été estimée à partir des données de LIDE (2009-2010) grâce à la régression établie à partir de ces valeurs</t>
  </si>
  <si>
    <t xml:space="preserve"> Lide (2009). Handbook of Chemistry and Physics. 90th Edition. 2009-2010. CRC Press, New York.Valeur identique HSDB, Verschueren, Mackay</t>
  </si>
  <si>
    <t>Mackay (2006) : moyenne géométrique de 7 valeurs</t>
  </si>
  <si>
    <t>US-EPA (2009)</t>
  </si>
  <si>
    <t>C5H5N</t>
  </si>
  <si>
    <t xml:space="preserve"> Lide (2000). Handbook of Chemistry and Physics. 81th Edition. 2000-2001. CRC Press, New York.</t>
  </si>
  <si>
    <t>Miscible (Mackay, 2008 ; INERIS, 2008)</t>
  </si>
  <si>
    <t xml:space="preserve"> Lijzen, J.P.A, A.J. Baars, P.F. Otte, M.G.J. Rikken, F.A. Swartjes, E.M.J. Verbruggen, A.P. van Wezel. (2001). Technical evaluation of the Intervention Values for soil/sediment and groundwater. Human and ecotoxicological risk assessment and derivation of risk limits for soil, aquatic sediment, and groundwater. RIVM Report n° 711701 023, Bilthoven, The Netherlands.</t>
  </si>
  <si>
    <t>INERIS, d'après USETOX, 2011</t>
  </si>
  <si>
    <t>US EPA (1989) ; RIVM (2001)</t>
  </si>
  <si>
    <t>RIVM (2001)</t>
  </si>
  <si>
    <t>CH2O</t>
  </si>
  <si>
    <t xml:space="preserve"> Lijzen, J.P.A, A.J. Baars, P.F. Otte, M.G.J. Rikken, F.A. Swartjes, E.M.J. Verbruggen, A.P. van Wezel. (2001). Technical evaluation of the Intervention Values for soil/sediment and groundwater. Human and ecotoxicological risk assessment and derivation of risk limits for soil, aquatic sediment, and groundwater. RIVM Report n° 711701 023, Bilthoven, The Netherlands. (extrapolation Dpe pyridine)</t>
  </si>
  <si>
    <t>OEHHA (2009)</t>
  </si>
  <si>
    <r>
      <t>C</t>
    </r>
    <r>
      <rPr>
        <vertAlign val="subscript"/>
        <sz val="10"/>
        <rFont val="Arial"/>
        <family val="2"/>
      </rPr>
      <t>2</t>
    </r>
    <r>
      <rPr>
        <sz val="10"/>
        <rFont val="Arial"/>
        <family val="2"/>
      </rPr>
      <t>H</t>
    </r>
    <r>
      <rPr>
        <vertAlign val="subscript"/>
        <sz val="10"/>
        <rFont val="Arial"/>
        <family val="2"/>
      </rPr>
      <t>2</t>
    </r>
    <r>
      <rPr>
        <sz val="10"/>
        <rFont val="Arial"/>
        <family val="2"/>
      </rPr>
      <t>Cl</t>
    </r>
    <r>
      <rPr>
        <vertAlign val="subscript"/>
        <sz val="10"/>
        <rFont val="Arial"/>
        <family val="2"/>
      </rPr>
      <t>2</t>
    </r>
  </si>
  <si>
    <t>INERIS (2008) ; Santé Canada (2000)</t>
  </si>
  <si>
    <t>US EPA (1991)</t>
  </si>
  <si>
    <t>C3H7NO</t>
  </si>
  <si>
    <t>HSDB, INRS, Verschueren</t>
  </si>
  <si>
    <t>soluble totalement - valeur maximale tenant compte de la densité de 0,948 g/mL</t>
  </si>
  <si>
    <t>valeur retenue = valeur Verschueren à 20°C car cohérente avec HSDB à 25 °C (3,87 mmHg = 516 Pa) et avec INRS  (380 Pa à 20°C) mais pas avec valeur Lide (équation donne 66 Pa à 10°C et 158 Pa à 20°C)- Valeur Lide non retenue car risque de sous-estimation</t>
  </si>
  <si>
    <t>pas de donnée trouvée</t>
  </si>
  <si>
    <t>Lide - HSDB</t>
  </si>
  <si>
    <t>pas de donnée trouvée - Calcul log Koc à partir de log  Kow (Koc = 0,411 x Kow)</t>
  </si>
  <si>
    <t>Valeur HSDB</t>
  </si>
  <si>
    <t>US-EPA</t>
  </si>
  <si>
    <t>C3H8O</t>
  </si>
  <si>
    <t>HSDB</t>
  </si>
  <si>
    <t>substance soluble à l'infini (HSDB, INRS)</t>
  </si>
  <si>
    <t>Valeurà 10°C de Mackay retenue selon expérimentation de Parks (1928) car cohérente avec autre valeur de Mackay (Stull:2666 pa à 12,7°C), valeur à 10°C de l'équation d'Antoine (2277 Pa) et valeur à 10°C de l'équation de Yaws (2278 Pa). La valeur de Vp  à 10°C  estimée à partir des données de LIDE (2009-2010) grâce à la régression donne 970 Pa à 10°C : non retenue car risque de sous-estimation.</t>
  </si>
  <si>
    <t xml:space="preserve"> LIDE (2009-2010). Handbook of Chemistry and Physics. 90th Edition. 2009-2010. CRC Press, New York. Idem valeur HSDB, INRS. Mackay donne 0,094 (moy géométrique).</t>
  </si>
  <si>
    <t>valeur Mackay et HSDB</t>
  </si>
  <si>
    <t>NH3</t>
  </si>
  <si>
    <t>Valeur HSDB à 24°C</t>
  </si>
  <si>
    <t>valeur ATSDR retenue de 8,5 atm à 20°C (cohérence avec HSDB = 7,51.103 mmHg = 1001251 Pa à 25°C, INRS = 860000 Pa à 20°C)</t>
  </si>
  <si>
    <t>Lide - HSDB- ATSDR</t>
  </si>
  <si>
    <t>base</t>
  </si>
  <si>
    <t>HF</t>
  </si>
  <si>
    <t>C2H2Cl4</t>
  </si>
  <si>
    <t>Mackay (2006) - Physical chemical properties and environmental fate for organic chemicals - CRC Press - Volume II page 1009 - Valeur à 10°C recommandée IUPAC</t>
  </si>
  <si>
    <t>La valeur de Vp  à 10°C estimée à partir de l'équation d'Antoine - Mackay (2006) - range -3,8 à 146 °C</t>
  </si>
  <si>
    <t xml:space="preserve"> Lide (2009). Handbook of Chemistry and Physics. 90th Edition. 2009-2010. CRC Press, New York. Valeur identique HSDB, Verschueren, ATSDR, Mackay</t>
  </si>
  <si>
    <t>Mackay (2006), moyenne géométrique de 6 valeurs</t>
  </si>
  <si>
    <t>US-EPA (2010)</t>
  </si>
  <si>
    <t>US-EPA (2010) et OEHHA donnent un Oral Slope Factor de 0,2 (mg/kg.j)-1</t>
  </si>
  <si>
    <t>Valeur OEHHA  de Unit Risk de 5,8.10-5 (µg/m3)-1</t>
  </si>
  <si>
    <t>CH4O</t>
  </si>
  <si>
    <t>totalement miscible (HSDB, Mackay et Verschueren)</t>
  </si>
  <si>
    <t xml:space="preserve">La valeur de Vp  à 10°C estimée à partir des données de LIDE (2009-2010) grâce à la régression établie à partir de ces valeurs </t>
  </si>
  <si>
    <t>US EPA (2013)</t>
  </si>
  <si>
    <t>OEHHA (2000)</t>
  </si>
  <si>
    <t>C4H10O</t>
  </si>
  <si>
    <t>valeur à 10°C IUPAC recommandée dans Mackay (2006)</t>
  </si>
  <si>
    <t>La valeur de Vp  à 10°C estimée à partir de l'équation d'Antoine-Weast - Mackay (2006) - range -1,2 à 277 °C</t>
  </si>
  <si>
    <t>Mackay (2006)</t>
  </si>
  <si>
    <t>US EPA (1990)</t>
  </si>
  <si>
    <t>C4H8O</t>
  </si>
  <si>
    <t xml:space="preserve">Mackay (2006) -Valeur à 9,6 °c </t>
  </si>
  <si>
    <t xml:space="preserve">La valeur de Vp  à 10°C a été estimée à partir des données de LIDE (2009-2010) grâce à la régression établie à partir de ces valeurs </t>
  </si>
  <si>
    <t xml:space="preserve"> Lide (2009). Handbook of Chemistry and Physics. 90th Edition. 2009-2010. CRC Press, New York. Valeur identique HSDB, ATSDR, Mackay</t>
  </si>
  <si>
    <t>Mackay (2006) - 4 valeurs disponibles</t>
  </si>
  <si>
    <t>Mackay (2006) et HSDB</t>
  </si>
  <si>
    <t>US-EPA (2003)</t>
  </si>
  <si>
    <t>C3H6O</t>
  </si>
  <si>
    <t>miscible (HSDB et Mackay)</t>
  </si>
  <si>
    <t>une seule valeur de 20 dans HSDB -&gt; non retenue</t>
  </si>
  <si>
    <t>US EPA (2003)</t>
  </si>
  <si>
    <t>ATSDR = MRL chronique de 13 ppm</t>
  </si>
  <si>
    <t>C3H6N6O6</t>
  </si>
  <si>
    <t>HSDB, ATSDR</t>
  </si>
  <si>
    <t>HSDB - valeur à 25°C</t>
  </si>
  <si>
    <t>HSDB - valeur de 4,1 10-9 mmHg à 20°C</t>
  </si>
  <si>
    <t>US EPA (1993)</t>
  </si>
  <si>
    <t>US-EPA (1993) - Oral slope factor de 1,1 10-1 (mg/kg.j)-1</t>
  </si>
  <si>
    <t>C7H5N3O6</t>
  </si>
  <si>
    <t>Mackay et al., 2006. Handbook of Physical-Chemical Properties and Environmental Fate for Organic Chemicals. Volume II. Halogenated Hydrocarbons. Second Edition. CRC - valeur à 10°C</t>
  </si>
  <si>
    <t>Mackay et al., 2006. Handbook of Physical-Chemical Properties and Environmental Fate for Organic Chemicals. Volume II. Halogenated Hydrocarbons. Second Edition. CRC - Vp à 14 °C</t>
  </si>
  <si>
    <t>Mackay et al., 2006. Handbook of Physical-Chemical Properties and Environmental Fate for Organic Chemicals. Volume II. Halogenated Hydrocarbons. Second Edition. CRC - Moyenne géométrique de 4 valeurs</t>
  </si>
  <si>
    <t>US EPA (1993) et ATSDR</t>
  </si>
  <si>
    <t>US EPA (1993)  - Oral slope factor de 3.10-2 (mg/kg.j)-1</t>
  </si>
  <si>
    <t>C4H8N8O8</t>
  </si>
  <si>
    <t>ATSDR- Valeur à 20°C</t>
  </si>
  <si>
    <t>HSDB - Vp = 2,41.10-8 mmHg à 25°C</t>
  </si>
  <si>
    <t>US EPA (1993)et ATSDR</t>
  </si>
  <si>
    <t>C12H11N</t>
  </si>
  <si>
    <t xml:space="preserve"> Lide (2009). Handbook of Chemistry and Physics. 90th Edition. 2009-2010. CRC Press, New York.- valeur à 20°C</t>
  </si>
  <si>
    <t>HSDB : Vp = 6,70.10-4 mmHg à 25°C</t>
  </si>
  <si>
    <t>Mackay et al., 2006. Handbook of Physical-Chemical Properties and Environmental Fate for Organic Chemicals. Volume II. Halogenated Hydrocarbons. Second Edition. CRC - Moyenne géométrique de 7 valeurs</t>
  </si>
  <si>
    <t>Lide (2009) - valeur HSDB = 0,78</t>
  </si>
  <si>
    <t>C6H3N3O6</t>
  </si>
  <si>
    <t xml:space="preserve"> Lide (2009). Handbook of Chemistry and Physics. 90th Edition. 2009-2010. CRC Press, New York.- valeur à 15°C</t>
  </si>
  <si>
    <t>ATSDR : Vp =3,20.10-6 mmHg à 25°C</t>
  </si>
  <si>
    <t>HSDB - ATSDR - Verschueren</t>
  </si>
  <si>
    <t>US EPA (1997)</t>
  </si>
  <si>
    <t>C2H3N</t>
  </si>
  <si>
    <t>HSDB et Mackay : solubilité infinie dans l'eau</t>
  </si>
  <si>
    <t>Mackay et al., 2006. Handbook of Physical-Chemical Properties and Environmental Fate for Organic Chemicals. Volume II. Halogenated Hydrocarbons. Second Edition. CRC - Equation de Yaws - range 229 K - 546 K</t>
  </si>
  <si>
    <t xml:space="preserve"> Lide (2009). Handbook of Chemistry and Physics. 90th Edition. 2009-2010. CRC Press, New York. Même valeur pour Mackay, Verschueren, HSDB</t>
  </si>
  <si>
    <t>valeur de 29,1 dans Mackay (2006) et de -4,30 dans HSDB-&gt; non retenue</t>
  </si>
  <si>
    <t>US EPA (1999)</t>
  </si>
  <si>
    <r>
      <t>C</t>
    </r>
    <r>
      <rPr>
        <vertAlign val="subscript"/>
        <sz val="10"/>
        <rFont val="Arial"/>
        <family val="2"/>
      </rPr>
      <t>19</t>
    </r>
    <r>
      <rPr>
        <sz val="10"/>
        <rFont val="Arial"/>
        <family val="2"/>
      </rPr>
      <t>H</t>
    </r>
    <r>
      <rPr>
        <vertAlign val="subscript"/>
        <sz val="10"/>
        <rFont val="Arial"/>
        <family val="2"/>
      </rPr>
      <t>20</t>
    </r>
    <r>
      <rPr>
        <sz val="10"/>
        <rFont val="Arial"/>
        <family val="2"/>
      </rPr>
      <t>O</t>
    </r>
    <r>
      <rPr>
        <vertAlign val="subscript"/>
        <sz val="10"/>
        <rFont val="Arial"/>
        <family val="2"/>
      </rPr>
      <t>4</t>
    </r>
  </si>
  <si>
    <t>Lide (2009-2010).CRC Handbook of Chemistry and Physics. David R. Lide Editor-in-Chief 90th Edition</t>
  </si>
  <si>
    <t>MACKAY Second Edition (2006). Handbook Of Physical-Chemical Properties and Environmental Fate for Organic Chemicals- Valeur à 20°C</t>
  </si>
  <si>
    <t xml:space="preserve">MACKAY Second Edition (2006). Handbook Of Physical-Chemical Properties and Environmental Fate for Organic Chemicals- Valeur à 20°C (pas d'équation pour 10°C) </t>
  </si>
  <si>
    <t xml:space="preserve">MACKAY Second Edition (2006). Handbook Of Physical-Chemical Properties and Environmental Fate for Organic Chemicals- Moyenne géométrique sur 14 valeurs </t>
  </si>
  <si>
    <t>US-EPA-IRIS (1989)</t>
  </si>
  <si>
    <r>
      <t>C</t>
    </r>
    <r>
      <rPr>
        <vertAlign val="subscript"/>
        <sz val="10"/>
        <rFont val="Arial"/>
        <family val="2"/>
      </rPr>
      <t>12</t>
    </r>
    <r>
      <rPr>
        <sz val="10"/>
        <rFont val="Arial"/>
        <family val="2"/>
      </rPr>
      <t>H</t>
    </r>
    <r>
      <rPr>
        <vertAlign val="subscript"/>
        <sz val="10"/>
        <rFont val="Arial"/>
        <family val="2"/>
      </rPr>
      <t>14</t>
    </r>
    <r>
      <rPr>
        <sz val="10"/>
        <rFont val="Arial"/>
        <family val="2"/>
      </rPr>
      <t>O</t>
    </r>
    <r>
      <rPr>
        <vertAlign val="subscript"/>
        <sz val="10"/>
        <rFont val="Arial"/>
        <family val="2"/>
      </rPr>
      <t>4</t>
    </r>
  </si>
  <si>
    <t>MACKAY Second Edition (2006). Handbook Of Physical-Chemical Properties and Environmental Fate for Organic Chemicals- Valeur à 10°C (Lide indique 1200 mg/L à 25°C)</t>
  </si>
  <si>
    <t>MACKAY Second Edition (2006). Handbook Of Physical-Chemical Properties and Environmental Fate for Organic Chemicals- Valeur à 10°C selon l'équation de Yaws (1994)</t>
  </si>
  <si>
    <t>MACKAY Second Edition (2006). Handbook Of Physical-Chemical Properties and Environmental Fate for Organic Chemicals- Moyenne géométrique sur 13 valeurs</t>
  </si>
  <si>
    <t>MACKAY Second Edition (2006). Handbook Of Physical-Chemical Properties and Environmental Fate for Organic Chemicals- Moyenne géométrique sur 9 valeurs</t>
  </si>
  <si>
    <t>US-EPA-IRIS (1987)</t>
  </si>
  <si>
    <r>
      <t>C</t>
    </r>
    <r>
      <rPr>
        <vertAlign val="subscript"/>
        <sz val="10"/>
        <rFont val="Arial"/>
        <family val="2"/>
      </rPr>
      <t>16</t>
    </r>
    <r>
      <rPr>
        <sz val="10"/>
        <rFont val="Arial"/>
        <family val="2"/>
      </rPr>
      <t>H</t>
    </r>
    <r>
      <rPr>
        <vertAlign val="subscript"/>
        <sz val="10"/>
        <rFont val="Arial"/>
        <family val="2"/>
      </rPr>
      <t>22</t>
    </r>
    <r>
      <rPr>
        <sz val="10"/>
        <rFont val="Arial"/>
        <family val="2"/>
      </rPr>
      <t>O</t>
    </r>
    <r>
      <rPr>
        <vertAlign val="subscript"/>
        <sz val="10"/>
        <rFont val="Arial"/>
        <family val="2"/>
      </rPr>
      <t>4</t>
    </r>
  </si>
  <si>
    <t>MACKAY Second Edition (2006). Handbook Of Physical-Chemical Properties and Environmental Fate for Organic Chemicals- Valeur à 10°C (Lide indique 11,2 mg/L à 25°C)</t>
  </si>
  <si>
    <t>MACKAY Second Edition (2006). Handbook Of Physical-Chemical Properties and Environmental Fate for Organic Chemicals- Valeur à 10°C selon l'équation de Rays (1979)</t>
  </si>
  <si>
    <t>MACKAY Second Edition (2006). Handbook Of Physical-Chemical Properties and Environmental Fate for Organic Chemicals- Moyenne géométrique sur 18 valeurs</t>
  </si>
  <si>
    <t>MACKAY Second Edition (2006). Handbook Of Physical-Chemical Properties and Environmental Fate for Organic Chemicals- Moyenne géométrique sur 14 valeurs</t>
  </si>
  <si>
    <t>CS2</t>
  </si>
  <si>
    <t>Lide (2009-2010) - CRC Handbook of Chemistry and Physics David R. Lide editor-in-Cheif, 90th Edition 2009-2010 - Valeur à 20°C (idem Mackay)</t>
  </si>
  <si>
    <t xml:space="preserve">valeur Mackay (2006) et HSDB </t>
  </si>
  <si>
    <t>MACKAY second edition, volume 2 p 1290. Handbook of Physical-Chemical Properties and Environmental Fate for Organic Chemicals. Une seule valeur</t>
  </si>
  <si>
    <t>US-EPA (IRIS) (1987)</t>
  </si>
  <si>
    <t>US-EPA (IRIS) (1995)</t>
  </si>
  <si>
    <r>
      <t>C</t>
    </r>
    <r>
      <rPr>
        <vertAlign val="subscript"/>
        <sz val="10"/>
        <rFont val="Arial"/>
        <family val="2"/>
      </rPr>
      <t>3</t>
    </r>
    <r>
      <rPr>
        <sz val="10"/>
        <rFont val="Arial"/>
        <family val="2"/>
      </rPr>
      <t>H</t>
    </r>
    <r>
      <rPr>
        <vertAlign val="subscript"/>
        <sz val="10"/>
        <rFont val="Arial"/>
        <family val="2"/>
      </rPr>
      <t>5</t>
    </r>
    <r>
      <rPr>
        <sz val="10"/>
        <rFont val="Arial"/>
        <family val="2"/>
      </rPr>
      <t>Cl</t>
    </r>
    <r>
      <rPr>
        <vertAlign val="subscript"/>
        <sz val="10"/>
        <rFont val="Arial"/>
        <family val="2"/>
      </rPr>
      <t>3</t>
    </r>
  </si>
  <si>
    <t>Lide (2009-2010) - CRC Handbook of Chemistry and Physics David R. Lide editor-in-Cheif, 90th Edition 2009-2010 - Valeur à 10°C  (Mackay donne 1900 mg/L à 20°C)</t>
  </si>
  <si>
    <t>MACKAY Second Edition. Hanbook Of Physical-Chemical Properties and Environmental Fate for Organic Chemicals- calcul à 10 °C basé sur équation de Yaws (1994)</t>
  </si>
  <si>
    <t>MACKAY Second Edition (2006). Handbook Of Physical-Chemical Properties and Environmental Fate for Organic Chemicals- Moyenne géométrique sur 4 valeurs</t>
  </si>
  <si>
    <t>MACKAY Second Edition (2006). Handbook Of Physical-Chemical Properties and Environmental Fate for Organic Chemicals- Moyenne géométrique sur 3 valeurs</t>
  </si>
  <si>
    <t>US-EPA (IRIS) (2009)</t>
  </si>
  <si>
    <t>US-EPA (2009) avec un Oral Slope Factor de 30 (mg/kg.j)-1</t>
  </si>
  <si>
    <r>
      <t>C</t>
    </r>
    <r>
      <rPr>
        <vertAlign val="subscript"/>
        <sz val="10"/>
        <rFont val="Arial"/>
        <family val="2"/>
      </rPr>
      <t>3</t>
    </r>
    <r>
      <rPr>
        <sz val="10"/>
        <rFont val="Arial"/>
        <family val="2"/>
      </rPr>
      <t>H</t>
    </r>
    <r>
      <rPr>
        <vertAlign val="subscript"/>
        <sz val="10"/>
        <rFont val="Arial"/>
        <family val="2"/>
      </rPr>
      <t>5</t>
    </r>
    <r>
      <rPr>
        <sz val="10"/>
        <rFont val="Arial"/>
        <family val="2"/>
      </rPr>
      <t>Br</t>
    </r>
    <r>
      <rPr>
        <vertAlign val="subscript"/>
        <sz val="10"/>
        <rFont val="Arial"/>
        <family val="2"/>
      </rPr>
      <t>2</t>
    </r>
    <r>
      <rPr>
        <sz val="10"/>
        <rFont val="Arial"/>
        <family val="2"/>
      </rPr>
      <t>Cl</t>
    </r>
  </si>
  <si>
    <t xml:space="preserve">valeur calculée à partir de Kow (Koc = 0,411 x Kow) </t>
  </si>
  <si>
    <t>Lide (2009-2010). CRC Handbook of Chemistry and Physics. David R. Lide Editor-in-Chief 90th Edition 2009-2010.</t>
  </si>
  <si>
    <r>
      <t>C</t>
    </r>
    <r>
      <rPr>
        <vertAlign val="subscript"/>
        <sz val="10"/>
        <rFont val="Arial"/>
        <family val="2"/>
      </rPr>
      <t>10</t>
    </r>
    <r>
      <rPr>
        <sz val="10"/>
        <rFont val="Arial"/>
        <family val="2"/>
      </rPr>
      <t>H</t>
    </r>
    <r>
      <rPr>
        <vertAlign val="subscript"/>
        <sz val="10"/>
        <rFont val="Arial"/>
        <family val="2"/>
      </rPr>
      <t>5</t>
    </r>
    <r>
      <rPr>
        <sz val="10"/>
        <rFont val="Arial"/>
        <family val="2"/>
      </rPr>
      <t>Cl</t>
    </r>
    <r>
      <rPr>
        <vertAlign val="subscript"/>
        <sz val="10"/>
        <rFont val="Arial"/>
        <family val="2"/>
      </rPr>
      <t>7</t>
    </r>
    <r>
      <rPr>
        <sz val="10"/>
        <rFont val="Arial"/>
        <family val="2"/>
      </rPr>
      <t>O</t>
    </r>
  </si>
  <si>
    <t xml:space="preserve">MACKAY Second Edition. Hanbook Of Physical-Chemical Properties and Environmental Fate for Organic Chemicals- pas de valeur/équation à 10 °C- valeur à 15°C  (Biggar &amp; Riggs 1974, pour des tailles de particule de 5µ) </t>
  </si>
  <si>
    <t>MACKAY Second Edition. Hanbook Of Physical-Chemical Properties and Environmental Fate for Organic Chemicals- pas de valeur à 10°C, valeur à 20°C Montgomery (1993)</t>
  </si>
  <si>
    <t>Mackay Second edition, volume 4. Handbook of Physical-Chemical Properties and Environmental Fate for Organic Chemicals.Moyenne géométrique (6 valeurs)</t>
  </si>
  <si>
    <t>MACKAY Second Edition, volume 4. Hanbook Of Physical-Chemical Properties and Environmental Fate for Organic Chemicals. Moyenne géométrique (3 valeurs). Les valeurs proposées pour les sédiments et les zéolites, ainsi que pour les range n'ont pas été prises en compte dans le calcul de la moyenne géométrique.</t>
  </si>
  <si>
    <t>US-EPA 1991</t>
  </si>
  <si>
    <t>US-EPA 1993 - OSF de 9,1 (mg/kg.jr)-1</t>
  </si>
  <si>
    <t>EPA-IRIS 1993 - Inhalation Unit Risk de 2,6 (mg/m3)-1</t>
  </si>
  <si>
    <r>
      <t>C</t>
    </r>
    <r>
      <rPr>
        <vertAlign val="subscript"/>
        <sz val="10"/>
        <rFont val="Arial"/>
        <family val="2"/>
      </rPr>
      <t>6</t>
    </r>
    <r>
      <rPr>
        <sz val="10"/>
        <rFont val="Arial"/>
        <family val="2"/>
      </rPr>
      <t>H</t>
    </r>
    <r>
      <rPr>
        <vertAlign val="subscript"/>
        <sz val="10"/>
        <rFont val="Arial"/>
        <family val="2"/>
      </rPr>
      <t>6</t>
    </r>
    <r>
      <rPr>
        <sz val="10"/>
        <rFont val="Arial"/>
        <family val="2"/>
      </rPr>
      <t>Cl</t>
    </r>
    <r>
      <rPr>
        <vertAlign val="subscript"/>
        <sz val="10"/>
        <rFont val="Arial"/>
        <family val="2"/>
      </rPr>
      <t>6</t>
    </r>
  </si>
  <si>
    <t>Mackay et al., 2006. Handbook of Physical-Chemical Properties and Environmental Fate for Organic Chemicals. Volume IV. Nitrogen and Sulfur Containing compounds. Second Edition. CRC. Calculé à 15°C, valeurs moyennes de 6-7 en labo, OECD, 1981</t>
  </si>
  <si>
    <t>Mackay et al., 2006. Handbook of Physical-Chemical Properties and Environmental Fate for Organic Chemicals. Volume IV. Nitrogen and Sulfur Containing compounds. Second Edition. CRC. Calculé à 10°C, Hinckley et al., 1990; Cotham &amp; Bildeman, 1992</t>
  </si>
  <si>
    <t>Mackay et al., 2006. Handbook of Physical-Chemical Properties and Environmental Fate for Organic Chemicals. Volume IV. Nitrogen and Sulfur Containing compounds. Second Edition. CRC. Moyenne géométrique des valeurs (25 valeurs) à 25°C.</t>
  </si>
  <si>
    <t>Mackay et al., 2006. Handbook of Physical-Chemical Properties and Environmental Fate for Organic Chemicals. Volume IV. Nitrogen and Sulfur Containing compounds. Second Edition. CRC. Moyenne géométrique des valeurs à 25°C (36 valeurs). Les valeurs proposées pour les sédiments et les zéolites, ainsi que pour les ranges n'ont pas été prises en compte dans le calcul de la moyenne géométrique.</t>
  </si>
  <si>
    <t>RIVM, 2001</t>
  </si>
  <si>
    <t>RIVM, 2001, dériviation voie à voie, organe : foie, poumons</t>
  </si>
  <si>
    <t>OEHHA, 1991/2009 - Oral Slope Factor de  1,1 (mg/kg.jr)-1</t>
  </si>
  <si>
    <t>OEHHA, 1991 - Inhalation Unit Risk de 0,31 (mg/m3)-1</t>
  </si>
  <si>
    <r>
      <t>C</t>
    </r>
    <r>
      <rPr>
        <vertAlign val="subscript"/>
        <sz val="10"/>
        <rFont val="Arial"/>
        <family val="2"/>
      </rPr>
      <t>12</t>
    </r>
    <r>
      <rPr>
        <sz val="10"/>
        <rFont val="Arial"/>
        <family val="2"/>
      </rPr>
      <t>H</t>
    </r>
    <r>
      <rPr>
        <vertAlign val="subscript"/>
        <sz val="10"/>
        <rFont val="Arial"/>
        <family val="2"/>
      </rPr>
      <t>8</t>
    </r>
    <r>
      <rPr>
        <sz val="10"/>
        <rFont val="Arial"/>
        <family val="2"/>
      </rPr>
      <t>Cl</t>
    </r>
    <r>
      <rPr>
        <vertAlign val="subscript"/>
        <sz val="10"/>
        <rFont val="Arial"/>
        <family val="2"/>
      </rPr>
      <t>6</t>
    </r>
    <r>
      <rPr>
        <sz val="10"/>
        <rFont val="Arial"/>
        <family val="2"/>
      </rPr>
      <t>O</t>
    </r>
  </si>
  <si>
    <r>
      <t>C</t>
    </r>
    <r>
      <rPr>
        <vertAlign val="subscript"/>
        <sz val="10"/>
        <rFont val="Arial"/>
        <family val="2"/>
      </rPr>
      <t>3</t>
    </r>
    <r>
      <rPr>
        <sz val="10"/>
        <rFont val="Arial"/>
        <family val="2"/>
      </rPr>
      <t>H</t>
    </r>
    <r>
      <rPr>
        <vertAlign val="subscript"/>
        <sz val="10"/>
        <rFont val="Arial"/>
        <family val="2"/>
      </rPr>
      <t>6</t>
    </r>
    <r>
      <rPr>
        <sz val="10"/>
        <rFont val="Arial"/>
        <family val="2"/>
      </rPr>
      <t>Cl</t>
    </r>
    <r>
      <rPr>
        <vertAlign val="subscript"/>
        <sz val="10"/>
        <rFont val="Arial"/>
        <family val="2"/>
      </rPr>
      <t>2</t>
    </r>
  </si>
  <si>
    <t>MACKAY second edition. Handbook of Physical-Chemical Properties and Environmental Fate for Organic Chemicals.Valeur à 10°C (recommended IUPAC-NIST)</t>
  </si>
  <si>
    <t>MACKAY Second Edition. Hanbook Of Physical-Chemical Properties and Environmental Fate for Organic Chemicals-calcul sur base de l'équation de Yaws à 10 °C [173-572 K] - 1994- Valeur de Lide non retenue à 10°C car plus faible (1095 Pa)</t>
  </si>
  <si>
    <t>MACKAY Second Edition, volume II. Hanbook Of Physical-Chemical Properties and Environmental Fate for Organic Chemicals. Moyenne géométrique (3 valeurs). Les valeurs proposées pour les sédiments et les zéolites, ainsi que pour les range n'ont pas été prises en compte dans le calcul de la moyenne géométrique.</t>
  </si>
  <si>
    <t>OMS,2011</t>
  </si>
  <si>
    <t>US-EPA (1991)</t>
  </si>
  <si>
    <t>OEHHA Cancer potency de 3,6.10-2 (mg/kg.j)-1</t>
  </si>
  <si>
    <t>OEHHA, 2009</t>
  </si>
  <si>
    <r>
      <t>C</t>
    </r>
    <r>
      <rPr>
        <vertAlign val="subscript"/>
        <sz val="10"/>
        <rFont val="Arial"/>
        <family val="2"/>
      </rPr>
      <t>4</t>
    </r>
    <r>
      <rPr>
        <sz val="10"/>
        <rFont val="Arial"/>
        <family val="2"/>
      </rPr>
      <t>Cl</t>
    </r>
    <r>
      <rPr>
        <vertAlign val="subscript"/>
        <sz val="10"/>
        <rFont val="Arial"/>
        <family val="2"/>
      </rPr>
      <t>6</t>
    </r>
  </si>
  <si>
    <t>MACKAY second edition. Handbook of Physical-Chemical Properties and Environmental Fate for Organic Chemicals.pas de valeur à 10°C- Valeur à 20°C -  valeur Mackay retenue car cohérente avec ATSDR, HSDB et valeur de Lide isolée avec 4,1 g/kg H2O (et indique "insoluble" dans le chapitre 1)</t>
  </si>
  <si>
    <t>MACKAY second edition. Handbook of Physical-Chemical Properties and Environmental Fate for Organic Chemicals.pas de valeur à 10°C- Valeur à 20°C cohérente avec ATSDR, HSDB. Equation hors gamme de température dans Lide</t>
  </si>
  <si>
    <t>MACKAY second edition, volume 3 p 2796. Handbook Physical-Chemical Properties and Environmental Fate for Organic Chemicals. Moyenne Géométrique de 6 valeurs</t>
  </si>
  <si>
    <t xml:space="preserve">valeur calculée à partir de Kow </t>
  </si>
  <si>
    <t>TDI de l'OMS (2011)</t>
  </si>
  <si>
    <t>US-EPA (1987) - Oral slope Factor de 7,8.10-2 (mg/kg.j)-1</t>
  </si>
  <si>
    <t>US-EPA (1987) - Inhalation Unit Risk de 2,2.10-5 (µg/m3)-1</t>
  </si>
  <si>
    <t>Lide (2009-2010). Handbook of Chemistry and Physics. David R. Lide Editor-in-Chief 90th Edition 2009-2010 - pas de valeur à 10°C - valeur à 20 °C</t>
  </si>
  <si>
    <t>MACKAY second edition (2006) . Handbook of Physical-Chemical Properties and Envionmental Fate for Organic Chemicals. Equation d'Antoine- valeur à 10 °C</t>
  </si>
  <si>
    <t>LIDE (2009-2010). Handbook of Chemistry and Physics. 90th Edition. 2009-2010. CRC Press, New York. Idem HSDB, Mac Kay</t>
  </si>
  <si>
    <t>Mac Kay (2006) propose 2 valeurs très différentes : 0,623 et 1,477 -&gt; pas de valeur retenue- valeur calculée avec formule Koc = 0,411 x Kow</t>
  </si>
  <si>
    <t>OEHHA (2000) et EPA (IRIS)-1990</t>
  </si>
  <si>
    <t>OEHHA-1995 et EPA (IRIS)-1990- Oral slope factor de 2,4.10-1 (mg/kg.j)-1</t>
  </si>
  <si>
    <t>OEHHA-1995 et EPA (IRIS)-1990- Inhalation Unit Risk de 3,7.10-6 (µg/m3)-1</t>
  </si>
  <si>
    <t>HSDB (valeur à 25°C) - Lide (2009-2010), MacKay (2006), Verchueren (1996), HSDB : miscible dans l'eau</t>
  </si>
  <si>
    <t>MACKAY (2006) Second Edition. Hanbook Of Physical-Chemical Properties and Environmental Fate for Organic Chemicals-calcul sur base de l'équation de Antoine à 10 °C [-20,4 à 222 °C]</t>
  </si>
  <si>
    <t>MACKAY (2006) second edition. Handbook of Physical-Chemical Properties and Environmental Fate for Organic Chemicals. Une seule valeur, calculée à partir de Kow par Lyman</t>
  </si>
  <si>
    <t>Une seule valeur de pKa de 19,2 dans HSDB - Non sélectionnée (impact sur VSH usage résidentiel avec jardin potager)</t>
  </si>
  <si>
    <t>Valeur OEHHA calculée sur base d'une étude NTP (1994) sur des rats exposés par ingestion d'eau. Courrier de l'OEHHA du 2 juin 1999 : Oral Slope Factor de 3,3.10-3 (mg/kg.j)-1.A utiliser pour la voie orale uniquement.</t>
  </si>
  <si>
    <t>C12H4Cl4O2</t>
  </si>
  <si>
    <t>MACKAY (2006) Second Edition. Hanbook Of Physical-Chemical Properties and Environmental Fate for Organic Chemicals- Valeur à 17,3 °C</t>
  </si>
  <si>
    <t>MACKAY (2006) Second Edition. Hanbook Of Physical-Chemical Properties and Environmental Fate for Organic Chemicals-calcul sur base de l'équation de Antoine à 10 °C [10-305 °C]</t>
  </si>
  <si>
    <t>MACKAY (2006) second edition. Handbook of Physical-Chemical Properties and Environmental Fate for Organic Chemicals. Moyenne géométrique sur 10 valeurs</t>
  </si>
  <si>
    <t>MACKAY (2006) second edition. Handbook of Physical-Chemical Properties and Environmental Fate for Organic Chemicals. Moyenne géométrique sur 11 valeurs</t>
  </si>
  <si>
    <t>US-EPA (2012)</t>
  </si>
  <si>
    <t>Valeur OEHHA (2011) calculée sur base d'une étude NTP (1980-1982) sur des rats et souris exposés par gavage. Oral Slope Factor de 1,3.10+5 (mg/kg.j)-1</t>
  </si>
  <si>
    <t>Valeur OEHHA (2011) calculée sur base d'une étude NTP (1980-1982) sur des rats et souris exposés par gavage. Unit Risk de 38 (µg/m3)-1 à utiliser pour la voie inhalatoire</t>
  </si>
  <si>
    <r>
      <t>C</t>
    </r>
    <r>
      <rPr>
        <vertAlign val="subscript"/>
        <sz val="10"/>
        <rFont val="Arial"/>
        <family val="2"/>
      </rPr>
      <t>4</t>
    </r>
    <r>
      <rPr>
        <sz val="10"/>
        <rFont val="Arial"/>
        <family val="2"/>
      </rPr>
      <t>H</t>
    </r>
    <r>
      <rPr>
        <vertAlign val="subscript"/>
        <sz val="10"/>
        <rFont val="Arial"/>
        <family val="2"/>
      </rPr>
      <t>8</t>
    </r>
    <r>
      <rPr>
        <sz val="10"/>
        <rFont val="Arial"/>
        <family val="2"/>
      </rPr>
      <t>O</t>
    </r>
    <r>
      <rPr>
        <vertAlign val="subscript"/>
        <sz val="10"/>
        <rFont val="Arial"/>
        <family val="2"/>
      </rPr>
      <t>2</t>
    </r>
  </si>
  <si>
    <t>MACKAY (2006) Second Edition. Hanbook Of Physical-Chemical Properties and Environmental Fate for Organic Chemicals- Valeur à 9,5 °C (Stephenson &amp; Stuart, 1986)</t>
  </si>
  <si>
    <t>MACKAY (2006) Second Edition. Hanbook Of Physical-Chemical Properties and Environmental Fate for Organic Chemicals-calcul sur base de l'équation de Antoine à 10 °C [-2,08-99,71 °C] de Boublik et al. 1984</t>
  </si>
  <si>
    <t>MACKAY (2006) second edition. Handbook of Physical-Chemical Properties and Environmental Fate for Organic Chemicals. Moyenne géométrique sur 11 valeurs. Valeur recommandée : 0,73</t>
  </si>
  <si>
    <t>MACKAY (2006) second edition. Handbook of Physical-Chemical Properties and Environmental Fate for Organic Chemicals.1 valeur (Kollig, 1993)</t>
  </si>
  <si>
    <t>pas de pKa dans les base de données, mais un pKs (constante de formation d'un précipité à l'équilibre de la réaction) de 22,83 issu de Mackay</t>
  </si>
  <si>
    <r>
      <t>C</t>
    </r>
    <r>
      <rPr>
        <vertAlign val="subscript"/>
        <sz val="10"/>
        <rFont val="Arial"/>
        <family val="2"/>
      </rPr>
      <t>4</t>
    </r>
    <r>
      <rPr>
        <sz val="10"/>
        <rFont val="Arial"/>
        <family val="2"/>
      </rPr>
      <t>H</t>
    </r>
    <r>
      <rPr>
        <vertAlign val="subscript"/>
        <sz val="10"/>
        <rFont val="Arial"/>
        <family val="2"/>
      </rPr>
      <t>10</t>
    </r>
    <r>
      <rPr>
        <sz val="10"/>
        <rFont val="Arial"/>
        <family val="2"/>
      </rPr>
      <t>O</t>
    </r>
  </si>
  <si>
    <t>MACKAY (2006) Second Edition. Hanbook Of Physical-Chemical Properties and Environmental Fate for Organic Chemicals- Valeur à 10°C (Bennett &amp; Philp, 1928)</t>
  </si>
  <si>
    <t>MACKAY Second Edition. Hanbook Of Physical-Chemical Properties and Environmental Fate for Organic Chemicals-calcul sur base de l'équation de Antoine à 10 °C [-23,1 à 55,434°C] - Ambrose et al. 1972, Boublik et al. 1984</t>
  </si>
  <si>
    <t>MACKAY (2006) second edition. Handbook of Physical-Chemical Properties and Environmental Fate for Organic Chemicals. Moyenne géométrique sur 6 valeurs. Valeur recommandée : 0,89</t>
  </si>
  <si>
    <t>Une seule valeur de pKa de -3,59 dans HSDB - Non sélectionnée (impact sur VSH usage résidentiel avec jardin potager)</t>
  </si>
  <si>
    <r>
      <t>C</t>
    </r>
    <r>
      <rPr>
        <vertAlign val="subscript"/>
        <sz val="10"/>
        <rFont val="Arial"/>
        <family val="2"/>
      </rPr>
      <t>7</t>
    </r>
    <r>
      <rPr>
        <sz val="10"/>
        <rFont val="Arial"/>
        <family val="2"/>
      </rPr>
      <t>H</t>
    </r>
    <r>
      <rPr>
        <vertAlign val="subscript"/>
        <sz val="10"/>
        <rFont val="Arial"/>
        <family val="2"/>
      </rPr>
      <t>6</t>
    </r>
    <r>
      <rPr>
        <sz val="10"/>
        <rFont val="Arial"/>
        <family val="2"/>
      </rPr>
      <t>N</t>
    </r>
    <r>
      <rPr>
        <vertAlign val="subscript"/>
        <sz val="10"/>
        <rFont val="Arial"/>
        <family val="2"/>
      </rPr>
      <t>2</t>
    </r>
    <r>
      <rPr>
        <sz val="10"/>
        <rFont val="Arial"/>
        <family val="2"/>
      </rPr>
      <t>O</t>
    </r>
    <r>
      <rPr>
        <vertAlign val="subscript"/>
        <sz val="10"/>
        <rFont val="Arial"/>
        <family val="2"/>
      </rPr>
      <t>4</t>
    </r>
  </si>
  <si>
    <t>MACKAY second edition. Handbook of Physical-Chemical Properties and Envionmental Fate for Organic Chemcals. Pas de valeur/équation à 10°C dans Lide/mackay. Valeur à 12,4°C (Phelan &amp; Barnell, 2001)</t>
  </si>
  <si>
    <t>MACKAY second edition. Handbook of Physical-Chemical Properties and Envionmental Fate for Organic Chemcals. Valeur à 10°C - range (277,5-344,15°K), Pella, 1977</t>
  </si>
  <si>
    <t>MACKAY (2006) second edition. Handbook of Physical-Chemical Properties and Environmental Fate for Organic Chemicals. Moyenne géométrique sur 4 valeurs. Valeur recommandée : 1,98</t>
  </si>
  <si>
    <t>MACKAY second edition, volume 3 p 2814. Handbook of Physical-Chemical Properties and Environmental Fate for Ogranic Chemicals. 1 valeur.</t>
  </si>
  <si>
    <t>MaCKAY second edition, volume 3 p 2796. Handbook Physical-Chemical Properties and Environmental Fate for Organic Chemicals.</t>
  </si>
  <si>
    <t>Valeur OEHHA (2011) calculée sur base d'une étude Lee et al. (1978) sur des rats et souris exposés par gavage Oral Slope Factor de 0,31 (mg/kg.j)-1</t>
  </si>
  <si>
    <t>Valeur OEHHA (2011) calculée sur base d'une étude Lee et al. (1978) sur des rats et souris exposés par gavage. Unit Risk de 0,000089 (µg/m3)-1 à utiliser pour la voie inhalatoire (organes : foie, glandes mammaires)</t>
  </si>
  <si>
    <t>MACKAY second edition. Handbook of Physical-Chemical Properties and Envionmental Fate for Organic Chemcals. Pas de valeur/équation à 10°C dans Lide/mackay. Valeur à 20°C (Mabey et al., 1982)</t>
  </si>
  <si>
    <t>MACKAY second edition. Handbook of Physical-Chemical Properties and Envionmental Fate for Organic Chemcals. Valeur à 10°C - range (277,5-323,15°K), Pella, 1977</t>
  </si>
  <si>
    <t>Howard, 1989 - calculated</t>
  </si>
  <si>
    <t>MACKAY (2006) second edition. Handbook of Physical-Chemical Properties and Environmental Fate for Organic Chemicals. Moyenne géométrique sur 6 valeurs. Valeurs recommandées : 2,06; 2,10.</t>
  </si>
  <si>
    <t>MACKAY second edition, Handbook of Physical-Chemical Properties and Environmental Fate for Ogranic Chemicals. Moyenne Geométrique de 2 valeurs.</t>
  </si>
  <si>
    <t>ATSDR, VTR orale intermédiaire</t>
  </si>
  <si>
    <r>
      <t>CH</t>
    </r>
    <r>
      <rPr>
        <vertAlign val="subscript"/>
        <sz val="10"/>
        <rFont val="Arial"/>
        <family val="2"/>
      </rPr>
      <t>3</t>
    </r>
    <r>
      <rPr>
        <sz val="10"/>
        <rFont val="Arial"/>
        <family val="2"/>
      </rPr>
      <t>Br</t>
    </r>
  </si>
  <si>
    <t>MACKAY second edition. Handbook of Physical-Chemical Properties and Envionmental Fate for Organic Chemcals. Valeur à 10°C (Horvath, 1982)</t>
  </si>
  <si>
    <t>MACKAY second edition. Handbook of Physical-Chemical Properties and Envionmental Fate for Organic Chemcals. Valeur à 10°C à partir de l'équation d'Antoine - range (201 - 296°K), Stephenson &amp; Malanowski, 1987)</t>
  </si>
  <si>
    <t>MACKAY (2006) second edition. Handbook of Physical-Chemical Properties and Environmental Fate for Organic Chemicals. Moyenne géométrique sur 3 valeurs. Valeur recommandée : 1,19</t>
  </si>
  <si>
    <t>MACKAY (2006) second edition. Handbook of Physical-Chemical Properties and Environmental Fate for Organic Chemicals. Moyenne géométrique de 4 valeurs</t>
  </si>
  <si>
    <t>EFSA, valeur retenue par l'Union Européenne</t>
  </si>
  <si>
    <r>
      <t>CH</t>
    </r>
    <r>
      <rPr>
        <vertAlign val="subscript"/>
        <sz val="10"/>
        <rFont val="Arial"/>
        <family val="2"/>
      </rPr>
      <t>3</t>
    </r>
    <r>
      <rPr>
        <sz val="10"/>
        <rFont val="Arial"/>
        <family val="2"/>
      </rPr>
      <t>Cl</t>
    </r>
  </si>
  <si>
    <t>MACKAY second edition, volume 3 p 2893. Handbook of Physical-Chmical Properties and Environmental Fate for Organic Chemicals.Valeur à 10°C expérimentale (Horvath, 1982) - range 5 - 80°C</t>
  </si>
  <si>
    <t>MACKAY second edition. Handbook of Physical-Chmical Properties and Environmental Fate for Organic Chemicals. Valeur à 10°C calculée à partir de l'équation d'Antoine II (Stephenson &amp; Malanowski, 1987) - range 247 - 310°K</t>
  </si>
  <si>
    <t>MACKAY (2006) second edition. Handbook of Physical-Chemical Properties and Environmental Fate for Organic Chemicals. Moyenne géométrique sur 5 valeurs. Valeur recommandée : 0,91</t>
  </si>
  <si>
    <t>MACKAY (2006) second edition. Handbook of Physical-Chemical Properties and Environmental Fate for Organic Chemicals. Moyenne géométrique de 2 valeurs</t>
  </si>
  <si>
    <r>
      <t>C</t>
    </r>
    <r>
      <rPr>
        <vertAlign val="subscript"/>
        <sz val="10"/>
        <rFont val="Arial"/>
        <family val="2"/>
      </rPr>
      <t>8</t>
    </r>
    <r>
      <rPr>
        <sz val="10"/>
        <rFont val="Arial"/>
        <family val="2"/>
      </rPr>
      <t>H</t>
    </r>
    <r>
      <rPr>
        <vertAlign val="subscript"/>
        <sz val="10"/>
        <rFont val="Arial"/>
        <family val="2"/>
      </rPr>
      <t>19</t>
    </r>
    <r>
      <rPr>
        <sz val="10"/>
        <rFont val="Arial"/>
        <family val="2"/>
      </rPr>
      <t>O</t>
    </r>
    <r>
      <rPr>
        <vertAlign val="subscript"/>
        <sz val="10"/>
        <rFont val="Arial"/>
        <family val="2"/>
      </rPr>
      <t>2</t>
    </r>
    <r>
      <rPr>
        <sz val="10"/>
        <rFont val="Arial"/>
        <family val="2"/>
      </rPr>
      <t>PS</t>
    </r>
    <r>
      <rPr>
        <vertAlign val="subscript"/>
        <sz val="10"/>
        <rFont val="Arial"/>
        <family val="2"/>
      </rPr>
      <t>3</t>
    </r>
  </si>
  <si>
    <t>MACKAY second edition, volume 3 p 2893. Handbook of Physical-Chmical Properties and Environmental Fate for Organic Chemicals.pas de valeur à 10°C. Valeur à 20°C (Melnikov, 1971; Spencer, 1973)</t>
  </si>
  <si>
    <t>MACKAY second edition, volume 3 p 2893. Handbook of Physical-Chmical Properties and Environmental Fate for Organic Chemicals. Valeur à 10°C calculée à partir de l'équation de Mac Dougall &amp; Archer, 1964 - range 10 - 40 °C</t>
  </si>
  <si>
    <t>MACKAY (2006) second edition. Handbook of Physical-Chemical Properties and Environmental Fate for Organic Chemicals. Moyenne géométrique sur 8 valeurs. Valeur recommandée : 4,02</t>
  </si>
  <si>
    <t>MACKAY (2006) second edition. Handbook of Physical-Chemical Properties and Environmental Fate for Organic Chemicals. Moyenne géométrique de 32 valeurs</t>
  </si>
  <si>
    <t>ATSDR, valeur intermédiaire</t>
  </si>
  <si>
    <r>
      <t>C</t>
    </r>
    <r>
      <rPr>
        <vertAlign val="subscript"/>
        <sz val="10"/>
        <rFont val="Arial"/>
        <family val="2"/>
      </rPr>
      <t>3</t>
    </r>
    <r>
      <rPr>
        <sz val="10"/>
        <rFont val="Arial"/>
        <family val="2"/>
      </rPr>
      <t>H</t>
    </r>
    <r>
      <rPr>
        <vertAlign val="subscript"/>
        <sz val="10"/>
        <rFont val="Arial"/>
        <family val="2"/>
      </rPr>
      <t>5</t>
    </r>
    <r>
      <rPr>
        <sz val="10"/>
        <rFont val="Arial"/>
        <family val="2"/>
      </rPr>
      <t>ClO</t>
    </r>
  </si>
  <si>
    <r>
      <t>C</t>
    </r>
    <r>
      <rPr>
        <vertAlign val="subscript"/>
        <sz val="10"/>
        <rFont val="Arial"/>
        <family val="2"/>
      </rPr>
      <t>6</t>
    </r>
    <r>
      <rPr>
        <sz val="10"/>
        <rFont val="Arial"/>
        <family val="2"/>
      </rPr>
      <t>H</t>
    </r>
    <r>
      <rPr>
        <vertAlign val="subscript"/>
        <sz val="10"/>
        <rFont val="Arial"/>
        <family val="2"/>
      </rPr>
      <t>14</t>
    </r>
  </si>
  <si>
    <t>Lide (2009-2010). Handbook of Chemistry and Physics. David R. Lide Editor-in-Chief 90th Edition 2009-2010. Solubilité à 25°C</t>
  </si>
  <si>
    <t>Lide (2009-2010). Handbook of Chemistry and Physics. David R. Lide Editor-in-Chief 90th Edition 2009-2010. équation de régression, valeur à 10°C</t>
  </si>
  <si>
    <t>Lide (2009-2010). Handbook of Chemistry and Physics. David R. Lide Editor-in-Chief 90th Edition 2009-2010.</t>
  </si>
  <si>
    <t>Lide (2009-2010). Handbook of Chemistry and Physics. David R. Lide Editor-in-Chief 90th Edition 2009-2010. valeur de Koc = 3410 L/kg</t>
  </si>
  <si>
    <t>valeur de pKa = 14,2 (Lide, HSDB, Mackay) n'a pas d'influence sur la VSH - non retenue</t>
  </si>
  <si>
    <t>Santé canada, 2010</t>
  </si>
  <si>
    <t>US-EPA IRIS, 2005</t>
  </si>
  <si>
    <t>Solubilité à 22°C. Verschueren K. (1996), Handbook of environmental data on organic chemicals</t>
  </si>
  <si>
    <t>Pression de vapeur à 20°C. Verschueren K. (1996), Handbook of environmental data on organic chemicals</t>
  </si>
  <si>
    <t xml:space="preserve">MACKAY (2006) second edition. Handbook of Physical-Chemical Properties and Environmental Fate for Organic Chemicals. Moyenne géométrique sur 19 valeurs. </t>
  </si>
  <si>
    <t>MACKAY (2006) second edition. Handbook of Physical-Chemical Properties and Environmental Fate for Organic Chemicals. Moy géom de 4 valeurs</t>
  </si>
  <si>
    <t xml:space="preserve">Lide (2009-2010). Handbook of Chemistry and Physics. David R. Lide Editor-in-Chief 90th Edition 2009-2010. </t>
  </si>
  <si>
    <t>Health Canada 2010</t>
  </si>
  <si>
    <t>Chemical Safety Reports, Dow Chemical</t>
  </si>
  <si>
    <t>C15H24O</t>
  </si>
  <si>
    <t>MACKAY second edition, volume 3 p 2862-p2864. Handbook of Physical-Chemical Properties and Environmental Fate for Organic Chemicals.</t>
  </si>
  <si>
    <t>MACKAY second edition, volume 3 p 2862-p2864. Handbook of Physical-Chemical Properties and Environmental Fate for Organic Chemicals. Pas de valeur/équation à 10°C. Valeur à 25°C de Brix et al. (1981)</t>
  </si>
  <si>
    <t>MACKAY second edition, volume 3 p 2862-p2864. Handbook of Physical-Chemical Properties and Environmental Fate for Organic Chemicals. Pas de valeur/équation à 10°C. Valeur à 25°C de Bidleman &amp; Renberg (1985), également citée dans HSDB</t>
  </si>
  <si>
    <t>MACKAY second edition, volume 3 p 2862-p2863. Handbook of Physical-Chemical Properties and Environmental Fate for Organic Chemicals. Pas de valeur/équation à 10°C. Valeur (selected) à 25°C de Yoshida et al. (1986), selected</t>
  </si>
  <si>
    <t>Saisine Afsset n°2003/AS03</t>
  </si>
  <si>
    <t>ethylene glycol</t>
  </si>
  <si>
    <t>C2H6O2</t>
  </si>
  <si>
    <t>miscible dans l'eau d'après Mackay (2006); HSDB, ATSDR</t>
  </si>
  <si>
    <t>Mackay (2006) - Valeur à 10°C d'après l'équation de Yaws (1994) - range 160-645 K - Valeur cohérente avec valeur de Hales (1981) de 2,698 Pa à 10°C</t>
  </si>
  <si>
    <t>Mackay et al., 2006 ; HSDB et ATSDR</t>
  </si>
  <si>
    <t>Mackay (2006) - Moyenne géométrique sur 5 valeurs - HSDB et ATSDR proposent -1,36</t>
  </si>
  <si>
    <t>pas de valeur dans les bases de données valeur calculée à partir de Log Kow (loi de Karichkoff)</t>
  </si>
  <si>
    <t>US-EPA (1987)</t>
  </si>
  <si>
    <t>OEHHA (REL chronique)</t>
  </si>
  <si>
    <t>Al</t>
  </si>
  <si>
    <t>Lide (2010). Handbook of Chemistry and Physics. 90th Edition. 2009-2010. CRC Press, New York.</t>
  </si>
  <si>
    <t>BCF pomme de terre issu de cultures en jardin potager de zone riveraine de pollution atmosphérique de proximité du sillon industriel Sambre-Meuse + Aubange (Référence : Pollusol 2)</t>
  </si>
  <si>
    <t>BCF carotte issu de cultures en jardin potager de zone riveraine de pollution atmosphérique de proximité du sillon industriel Sambre-Meuse + Aubange (Référence : Pollusol 2)</t>
  </si>
  <si>
    <t>BCF salade issu de cultures en jardin potager de zone riveraine de pollution atmosphérique de proximité du sillon industriel Sambre-Meuse + Aubange (Référence : Pollusol 2)</t>
  </si>
  <si>
    <t>BCF (haricot+courgette) issu de cultures en jardin potager de zone riveraine de pollution atmosphérique de proximité du sillon industriel Sambre-Meuse + Aubange (Référence : Pollusol 2)</t>
  </si>
  <si>
    <t>Sb</t>
  </si>
  <si>
    <t>Ba</t>
  </si>
  <si>
    <t>Be</t>
  </si>
  <si>
    <t>US-EPA 1998/ATSDR 2002</t>
  </si>
  <si>
    <t>OEHHA 2001</t>
  </si>
  <si>
    <t>US_EPA 1998/OEHHA 2001</t>
  </si>
  <si>
    <t>Co</t>
  </si>
  <si>
    <t>Sn</t>
  </si>
  <si>
    <t>RIVM 2009</t>
  </si>
  <si>
    <t>Mn</t>
  </si>
  <si>
    <t>Mo</t>
  </si>
  <si>
    <t>Se</t>
  </si>
  <si>
    <t>Ti</t>
  </si>
  <si>
    <t>NSF 2005</t>
  </si>
  <si>
    <t>V</t>
  </si>
  <si>
    <t>Ag</t>
  </si>
  <si>
    <t>US-EPA (IRIS) - 1991</t>
  </si>
  <si>
    <t>B</t>
  </si>
  <si>
    <t>Sr</t>
  </si>
  <si>
    <t>Otte et al., 2001. RIVM</t>
  </si>
  <si>
    <t>TOXNET-ChemIDPlus</t>
  </si>
  <si>
    <t>pas de donnée dans Lijzen (2001)</t>
  </si>
  <si>
    <t xml:space="preserve">MACKAY Second Edition (2006). Handbook Of Physical-Chemical Properties and Environmental Fate for Organic Chemicals- Moyenne géométrique sur 10 valeurs </t>
  </si>
  <si>
    <t xml:space="preserve">MACKAY Second Edition (2006). Handbook Of Physical-Chemical Properties and Environmental Fate for Organic Chemicals- Moyenne géométrique sur 18 valeurs </t>
  </si>
  <si>
    <t>strong acid - Valeur IUPAC</t>
  </si>
  <si>
    <t>OEHHA (1997) - Oral slope Factor de 0,056 (mg/kg.j)-1- calcul : 10-5 / 0,056</t>
  </si>
  <si>
    <t>C8H14ClN5</t>
  </si>
  <si>
    <t xml:space="preserve">MACKAY Second Edition (2006). Handbook Of Physical-Chemical Properties and Environmental Fate for Organic Chemicals- Valeur à 20°C </t>
  </si>
  <si>
    <t>MACKAY Second Edition (2006). Handbook Of Physical-Chemical Properties and Environmental Fate for Organic Chemicals- Moyenne géométrique sur 28 valeurs</t>
  </si>
  <si>
    <t>MACKAY Second Edition (2006). Handbook Of Physical-Chemical Properties and Environmental Fate for Organic Chemicals- Moyenne géométrique sur 70 valeurs</t>
  </si>
  <si>
    <t>MACKAY Second Edition (2006). Handbook Of Physical-Chemical Properties and Environmental Fate for Organic Chemicals</t>
  </si>
  <si>
    <t>OEHHA (1999) - Oral slope Factor de 0,23 (mg/kg.j)-1- calcul : 10-5 / 0,23</t>
  </si>
  <si>
    <t>C10H12N2O3S</t>
  </si>
  <si>
    <t>Lide (2009-2010). CRC Handbook of Chemistry and Physics. David R.Lide Editor-in-Chief 90th Edition - valeur à 20°C</t>
  </si>
  <si>
    <t>TOXNET - HSDB (Web)</t>
  </si>
  <si>
    <t>Calcul Koc = 0,411 x Kow</t>
  </si>
  <si>
    <t>US EPA (1998)</t>
  </si>
  <si>
    <t>C9H13BrN2O2</t>
  </si>
  <si>
    <t>MACKAY (2006) Second Edition. Hanbook Of Physical-Chemical Properties and Environmental Fate for Organic Chemicals- valeur à 20 °C</t>
  </si>
  <si>
    <t>valeur très faibles : 5.10-5 dans Mackay, HSDB, INERIS- Valeur à 20°C</t>
  </si>
  <si>
    <t xml:space="preserve">MACKAY Second Edition (2006). Handbook Of Physical-Chemical Properties and Environmental Fate for Organic Chemicals- Moyenne géométrique sur 11 valeurs </t>
  </si>
  <si>
    <t xml:space="preserve">MACKAY Second Edition (2006). Handbook Of Physical-Chemical Properties and Environmental Fate for Organic Chemicals- Moyenne géométrique sur 35 valeurs </t>
  </si>
  <si>
    <t>Mackay (2006) - idem HSDB et INERIS</t>
  </si>
  <si>
    <t>C9H9N3O2</t>
  </si>
  <si>
    <t xml:space="preserve">MACKAY Second Edition (2006). Handbook Of Physical-Chemical Properties and Environmental Fate for Organic Chemicals- Moyenne géométrique sur 13 valeurs </t>
  </si>
  <si>
    <t xml:space="preserve">MACKAY Second Edition (2006). Handbook Of Physical-Chemical Properties and Environmental Fate for Organic Chemicals- Moyenne géométrique sur 15 valeurs </t>
  </si>
  <si>
    <t>EFSA</t>
  </si>
  <si>
    <t>C12H16N2O3</t>
  </si>
  <si>
    <t>Verchueren (1986)</t>
  </si>
  <si>
    <t>TOXNET - ChemIDPlus (web) - Valeur à 20°C</t>
  </si>
  <si>
    <t>Verschueren (1996) - valeur à 20°C</t>
  </si>
  <si>
    <t>TOXNET - ChemIDPlus (web)</t>
  </si>
  <si>
    <t xml:space="preserve">Calcul Log Koc à partir de Log Kow (Koc = 0,411 x Kow) </t>
  </si>
  <si>
    <t>Valeur IUPAC</t>
  </si>
  <si>
    <t>C10H8ClN3O</t>
  </si>
  <si>
    <t>MACKAY Second Edition. Hanbook Of Physical-Chemical Properties and Environmental Fate for Organic Chemicals- pas de valeur/équation à 10 °C- valeur à 20°C</t>
  </si>
  <si>
    <t>TOXNET - HSDB (web) - valeur à 20°C</t>
  </si>
  <si>
    <t>TOXNET - HSDB</t>
  </si>
  <si>
    <t xml:space="preserve">MACKAY Second Edition (2006). Handbook Of Physical-Chemical Properties and Environmental Fate for Organic Chemicals- Moyenne géométrique sur 7 valeurs </t>
  </si>
  <si>
    <t xml:space="preserve">MACKAY Second Edition (2006). Handbook Of Physical-Chemical Properties and Environmental Fate for Organic Chemicals- Moyenne géométrique sur 4 valeurs </t>
  </si>
  <si>
    <t>TOXNET -HSDB (Web)</t>
  </si>
  <si>
    <t>C10H12ClNO2</t>
  </si>
  <si>
    <t>MACKAY Second Edition. Hanbook Of Physical-Chemical Properties and Environmental Fate for Organic Chemicals- valeur à 20°C</t>
  </si>
  <si>
    <t xml:space="preserve">MACKAY Second Edition (2006). Handbook Of Physical-Chemical Properties and Environmental Fate for Organic Chemicals- Moyenne géométrique sur 17 valeurs </t>
  </si>
  <si>
    <t>not applicable (IUPAC)</t>
  </si>
  <si>
    <t>EFSA (DIR 04/20)</t>
  </si>
  <si>
    <t>C10H13ClN2O</t>
  </si>
  <si>
    <t xml:space="preserve">Mackay et al., 2006. Handbook of Physical-Chemical Properties and Environmental Fate for Organic Chemicals. Volume IV. </t>
  </si>
  <si>
    <t>Mackay et al., 2006. Handbook of Physical-Chemical Properties and Environmental Fate for Organic Chemicals. Volume IV. Valeur à 20°C - idem HSDB et Verchueren</t>
  </si>
  <si>
    <t>Mackay et al., 2006. Handbook of Physical-Chemical Properties and Environmental Fate for Organic Chemicals. Volume IV. Valeur à 20°C</t>
  </si>
  <si>
    <t xml:space="preserve">MACKAY Second Edition (2006). Handbook Of Physical-Chemical Properties and Environmental Fate for Organic Chemicals- Moyenne géométrique sur 19 valeurs </t>
  </si>
  <si>
    <t>OMS - DWGV (2011) - TDI de 11,3 µg/kg.j</t>
  </si>
  <si>
    <t>C9H13ClN6</t>
  </si>
  <si>
    <t>MACKAY Second Edition. Hanbook Of Physical-Chemical Properties and Environmental Fate for Organic Chemicals, Volum IV - pas de valeur à 10°C - valeur à 20°C</t>
  </si>
  <si>
    <t>MACKAY Second Edition. Hanbook Of Physical-Chemical Properties and Environmental Fate for Organic Chemicals, Volume IV - Valeur à 20°C</t>
  </si>
  <si>
    <t xml:space="preserve">MACKAY Second Edition (2006). Handbook Of Physical-Chemical Properties and Environmental Fate for Organic Chemicals- Moyenne géométrique sur 16 valeurs </t>
  </si>
  <si>
    <t xml:space="preserve">MACKAY Second Edition (2006). Handbook Of Physical-Chemical Properties and Environmental Fate for Organic Chemicals- Moyenne géométrique sur 28 valeurs </t>
  </si>
  <si>
    <t>MACKAY Second Edition, volume IV. Hanbook Of Physical-Chemical Properties and Environmental Fate for Organic Chemicals.</t>
  </si>
  <si>
    <t>OMS - DWGV (2011) - TDI de 0,198 µg/kg.j</t>
  </si>
  <si>
    <t>C8H6Cl2O3</t>
  </si>
  <si>
    <t>MACKAY (2006). Second edition. Handbook of Physical-Chemical Properties and Environmental Fate for Organic Chemicals.</t>
  </si>
  <si>
    <t>MACKAY (2006). Second edition. Handbook of Physical-Chemical Properties and Environmental Fate for Organic Chemicals. Valeur à 20°C</t>
  </si>
  <si>
    <t>MACKAY Second Edition (2006). Handbook Of Physical-Chemical Properties and Environmental Fate for Organic Chemicals- Valeur recommandée  = médiane  sur 12 valeurs (car valeurs négatives et positives- grande variabilité)</t>
  </si>
  <si>
    <t>MACKAY Second Edition (2006). Handbook Of Physical-Chemical Properties and Environmental Fate for Organic Chemicals- Médiane sur 20 valeurs (car valeurs négatives et positives- grande variabilité)</t>
  </si>
  <si>
    <t xml:space="preserve">MACKAY Second Edition, volume II. Hanbook Of Physical-Chemical Properties and Environmental Fate for Organic Chemicals. </t>
  </si>
  <si>
    <t>US EPA (1988)</t>
  </si>
  <si>
    <t>2,6-dichlorobenzamide</t>
  </si>
  <si>
    <t>C7H5Cl2NO</t>
  </si>
  <si>
    <t>TOXNET - HSDB (web)</t>
  </si>
  <si>
    <t>Pas de données trouvées</t>
  </si>
  <si>
    <t>C9H10Cl2N2O</t>
  </si>
  <si>
    <t>MACKAY second edition (2006) . Handbook of Physical-Chemical Properties and Envionmental Fate for Organic Chemicals. Valeur à 20°C</t>
  </si>
  <si>
    <t xml:space="preserve">MACKAY Second Edition (2006). Handbook Of Physical-Chemical Properties and Environmental Fate for Organic Chemicals- Moyenne géométrique sur 19valeurs </t>
  </si>
  <si>
    <t xml:space="preserve">MACKAY Second Edition (2006). Handbook Of Physical-Chemical Properties and Environmental Fate for Organic Chemicals- Moyenne géométrique sur 47 valeurs </t>
  </si>
  <si>
    <t>US-EPA (1988)</t>
  </si>
  <si>
    <t>C13H18O5S</t>
  </si>
  <si>
    <t>Verschueren (1996)- valeur à 25°C</t>
  </si>
  <si>
    <t>TOXNET - HSDB (web) et fiche toxicologie INERIS de l'ethofumesate</t>
  </si>
  <si>
    <t>C12H20N4O2</t>
  </si>
  <si>
    <t>Lide (2009-2010). CRC Handbook of Chemistry and Physics. David R. Lide Editor-in-Chief 90th Edition 2009-2010. Valeur à 25°C (idem HSDB)</t>
  </si>
  <si>
    <t>TOXNET - HSDB (web) (valeur à 25°C extrapolée)</t>
  </si>
  <si>
    <t xml:space="preserve">TOXNET - HSDB (web) </t>
  </si>
  <si>
    <t>US EPA - IRIS (1987)</t>
  </si>
  <si>
    <t xml:space="preserve">C12H18N2O </t>
  </si>
  <si>
    <t>MACKAY (2006) Second Edition. Hanbook Of Physical-Chemical Properties and Environmental Fate for Organic Chemicals</t>
  </si>
  <si>
    <t>MACKAY (2006) Second Edition. Hanbook Of Physical-Chemical Properties and Environmental Fate for Organic - Valeur à 20°C</t>
  </si>
  <si>
    <t>MACKAY (2006) Second Edition. Hanbook Of Physical-Chemical Properties and Environmental Fate for Organic Chemicals - valeur à 20°C</t>
  </si>
  <si>
    <t>MACKAY (2006) Second Edition. Hanbook Of Physical-Chemical Properties and Environmental Fate for Organic Chemicals, Moyenne géométrique sur 9 valeurs,</t>
  </si>
  <si>
    <t>MACKAY (2006) Second Edition. Hanbook Of Physical-Chemical Properties and Environmental Fate for Organic Chemicals, Moyenne géométrique sur 27 valeurs,</t>
  </si>
  <si>
    <t>OMS- DWGV (2011) - TDI de 3 µg/kg.j</t>
  </si>
  <si>
    <t>C9H10Cl2N2O2</t>
  </si>
  <si>
    <t>MACKAY (2006) second edition. Handbook of Physical-Chemical Properties and Envionmental Fate for Organic Chemicals. Valeur à 20°C</t>
  </si>
  <si>
    <t>MACKAY (2006) second edition. Handbook of Physical-Chemical Properties and Environmental Fate for Organic Chemcals. Moyenne géométrique sur 14 valeurs,</t>
  </si>
  <si>
    <t>MACKAY (2006) second edition. Handbook of Physical-Chemical Properties and Environmental Fate for Organic Chemcals. Moyenne géométrique sur 42 valeurs,</t>
  </si>
  <si>
    <t xml:space="preserve"> C10H10N4O </t>
  </si>
  <si>
    <t>TOXNET-ChemIDplus- Valeur à 20°C</t>
  </si>
  <si>
    <t xml:space="preserve"> C14H16ClN3O </t>
  </si>
  <si>
    <t>INERIS - fiche toxicologique- Valeur à 20°C</t>
  </si>
  <si>
    <t>C10H11N3OS</t>
  </si>
  <si>
    <t>1,51E10-5</t>
  </si>
  <si>
    <t>INERIS - fiche toxicologique</t>
  </si>
  <si>
    <t>C9H11BrN2O2</t>
  </si>
  <si>
    <t>HSDB-TOXNET - Valeur à 20°C</t>
  </si>
  <si>
    <t>Calcul Koc à partir de Kow : Koc = 0,411 x Kow</t>
  </si>
  <si>
    <t>C15H22ClNO2</t>
  </si>
  <si>
    <t>MACKAY (2006) Second Edition. Hanbook Of Physical-Chemical Properties and Environmental Fate for Organic Chemicals - Valeur à 20°C</t>
  </si>
  <si>
    <t>MACKAY (2006) second edition. Handbook of Physical-Chemical Properties and Environmental Fate for Organic Chemicals. Moyenne géométrique sur 14 valeurs</t>
  </si>
  <si>
    <t>OMS - DWGV (2011) - TDI de 3,5 µg/kg.j</t>
  </si>
  <si>
    <t>C9H11ClN2O2</t>
  </si>
  <si>
    <t>MACKAY (2006) Second Edition. Hanbook Of Physical-Chemical Properties and Environmental Fate for Organic Chemicals. Valeur à 20°C-  Idem HSDB</t>
  </si>
  <si>
    <t>HSDB - TOXNET- Valeur à 20°C</t>
  </si>
  <si>
    <t>MACKAY (2006) second edition. Handbook of Physical-Chemical Properties and Environmental Fate for Organic Chemicals. Moyenne géométrique sur 11 valeurs.</t>
  </si>
  <si>
    <t>MACKAY (2006) second edition. Handbook of Physical-Chemical Properties and Environmental Fate for Organic Chemicals. Moyenne géométrique sur 31 valeurs.</t>
  </si>
  <si>
    <t>MACKAY (2006) Second Edition. Hanbook Of Physical-Chemical Properties and Environmental Fate for Organic Chemicals. Valeur à 20°C- Idem ATSDR, HSDB</t>
  </si>
  <si>
    <t>MACKAY (2006) Second Edition. Hanbook Of Physical-Chemical Properties and Environmental Fate for Organic Chemicals. Valeur à 20°C. Idem HSDB, ATSDR</t>
  </si>
  <si>
    <t>MACKAY (2006) second edition. Handbook of Physical-Chemical Properties and Environmental Fate for Organic Chemicals. Moyenne géométrique sur X valeurs.</t>
  </si>
  <si>
    <t>HSDB - TOXNET</t>
  </si>
  <si>
    <t>ATSDR (2001)</t>
  </si>
  <si>
    <t>US EPA - IRIS (2010) - Oral slope Factor de 0,4 (mg/kg.j)-1- calcul : 10-5 / 0,4</t>
  </si>
  <si>
    <t>OEHHA (2011) - Inhlation Unit Risk de 5,1.10-6 (µg/m3)---&gt; calcul : 10-5 / 0,0000051</t>
  </si>
  <si>
    <t xml:space="preserve"> C10H19N5S </t>
  </si>
  <si>
    <t>Lide (2009-2010). CRC Handbook of Chemistry and Physics. David R. Lide Editor-in-Chief 90th Edition 2009-2010.température à 20 °C- idem Mackay et Verschueren</t>
  </si>
  <si>
    <t>MACKAY  (2006) second edition, Handbook of Physical-Chemical Properties and Environmental Fate for Organic Chemicals. Valeur à 20°C</t>
  </si>
  <si>
    <t>MACKAY (2006) second edition. Handbook of Physical-Chemical Properties and Environmental Fate for Organic Chemicals. Moyenne géométrique sur 16 valeurs.</t>
  </si>
  <si>
    <t>MACKAY (2006) second edition. Handbook of Physical-Chemical Properties and Environmental Fate for Organic Chemicals. Moyenne géométrique sur 33 valeurs.</t>
  </si>
  <si>
    <t>HSDB-TOXNET - idem Mackay</t>
  </si>
  <si>
    <t>C11H14ClNO</t>
  </si>
  <si>
    <t>MACKAY  (2006) second edition, volume 4  Handbook of Physical-Chemical Properties and Environmental Fate for Organic Chemicals. Valeur à 20°C</t>
  </si>
  <si>
    <t>MACKAY (2006) second edition. Handbook of Physical-Chemical Properties and Environmental Fate for Organic Chemicals. Moyenne géométrique sur 10 valeurs.</t>
  </si>
  <si>
    <t>C9H9Cl2NO</t>
  </si>
  <si>
    <t>MACKAY (2006) second edition.Handbook of Physical-Chemical Properties and Environmental Fate for Organic Chemicals. Valeur à 20°C. Idem Lide</t>
  </si>
  <si>
    <t>MACKAY (2006) second edition. Handbook of Physical-Chemical Properties and Environmental Fate for Organic Chemicals. Pas de valeur/équation à 10°C- Valeur à 20°C</t>
  </si>
  <si>
    <t>MACKAY (2006) second edition. Handbook of Physical-Chemical Properties and Environmental Fate for Organic Chemicals. Moyenne géométrique sur 5 valeurs.</t>
  </si>
  <si>
    <t>ne se dissocie pas (IUPAC)</t>
  </si>
  <si>
    <t>US EPA - IRIS (1988)</t>
  </si>
  <si>
    <t>C9H16ClN5</t>
  </si>
  <si>
    <t>Lide (2000). Handbook of Chemistry and Physics. 81th Edition. 2000-2001. CRC Press, New York. - Valeur à 20°C</t>
  </si>
  <si>
    <t>MACKAY (2006) second edition. Handbook of Physical-Chemical Properties and Environmental Fate for Organic Chemicals. Moyenne géométrique sur 12 valeurs.</t>
  </si>
  <si>
    <t>MACKAY (2006) second edition. Handbook of Physical-Chemical Properties and Environmental Fate for Organic Chemicals. Moyenne géométrique sur 38 valeurs.</t>
  </si>
  <si>
    <t xml:space="preserve">MACKAY (2006) second edition.Handbook of Physical-Chemical Properties and Environmental Fate for Organic Chemicals. </t>
  </si>
  <si>
    <t>Valeurs du TPHCGW (Table 7 ; Volume 3, 1997)</t>
  </si>
  <si>
    <t>C7H12ClN5</t>
  </si>
  <si>
    <t>MACKAY (2006) second edition. Handbook of Physical-Chemical Properties and Environmental Fate for Organic Chemicals. Valeur de solubilité valable pour 20°C</t>
  </si>
  <si>
    <t>MACKAY (2006) second edition.Handbook of Physical-Chemical Properties and Environmental Fate for Organic Chemicals. Valeur à 20°C</t>
  </si>
  <si>
    <t>MACKAY (2006) second edition. Handbook of Physical-Chemical Properties and Environmental Fate for Organic Chemicals. Moyenne géométrique sur 24 valeurs.</t>
  </si>
  <si>
    <t>MACKAY (2006) second edition. Handbook of Physical-Chemical Properties and Environmental Fate for Organic Chemicals. Moyenne géométrique sur 47 valeurs.</t>
  </si>
  <si>
    <t>MACKAY (2006) second edition. Handbook of Physical-Chemical Properties and Environmental Fate for Organic Chemicals</t>
  </si>
  <si>
    <t>OMS- DWGV (2011) - TDI de 0,52 µg/kg.j</t>
  </si>
  <si>
    <t>HSDB - TOXNET (à 20°C)</t>
  </si>
  <si>
    <t>OMS-DWGV (2011) - TDI de 2,2 µg/kg.j</t>
  </si>
  <si>
    <t>C10H19N5S</t>
  </si>
  <si>
    <t>MACKAY (2006) second edition. Handbook of Physical-Chemical Properties and Environmental Fate for Organic Chemicals. Valeur à 20°C</t>
  </si>
  <si>
    <t>MACKAY second edition, Handbook of Physical-Chemical Properties and Environmental Fate for Organic Chemicals. Valeur à 20°C</t>
  </si>
  <si>
    <t>MACKAY (2006) second edition. Handbook of Physical-Chemical Properties and Environmental Fate for Organic Chemicals. Moyenne géométrique sur 14 valeurs.</t>
  </si>
  <si>
    <t>MACKAY (2006) second edition. Handbook of Physical-Chemical Properties and Environmental Fate for Organic Chemicals. Moyenne géométrique sur 23 valeurs.</t>
  </si>
  <si>
    <t>MACKAY (2006) second edition. Handbook of Physical-Chemical Properties and Environmental Fate for Organic Chemicals. Idem HSDB</t>
  </si>
  <si>
    <t>C14H8Cl4</t>
  </si>
  <si>
    <t>MACKAY second edition, volume IV. Handbook of Physical-Chemical Properties and Environmental Fate for Organic Chemicals. Valeur de solubilité valable pour 20-25°C</t>
  </si>
  <si>
    <t>MACKAY second edition, volume IV. Handbook of Physical-Chemical Properties and Environmental Fate for Organic Chemicals. La valeur de Vp  à 10°C estimée à partir de l'équation de Passivirta et al. (1999), range de températures non précisé</t>
  </si>
  <si>
    <t>MACKAY second edition, volume IV. Handbook of Physical-Chemical Properties and Environmental Fate for Organic Chemicals. Moyenne géométrique de 15 valeurs</t>
  </si>
  <si>
    <t>MACKAY second edition, volume IV. Handbook of Physical-Chemical Properties and Environmental Fate for Organic Chemicals. Moyenne géométrique de 5 valeurs</t>
  </si>
  <si>
    <t>US EPA-IRIS, 1988</t>
  </si>
  <si>
    <t>MACKAY second edition, volume IV. Handbook of Physical-Chemical Properties and Environmental Fate for Organic Chemicals. Valeur de solubilité valable pour 20°C</t>
  </si>
  <si>
    <t>MACKAY second edition, volume IV. Handbook of Physical-Chemical Properties and Environmental Fate for Organic Chemicals. La valeur de Vp  à 10°C mesurée par MacLchlin et al. (1990)</t>
  </si>
  <si>
    <t>MACKAY second edition, volume IV. Handbook of Physical-Chemical Properties and Environmental Fate for Organic Chemicals. Moyenne géométrique de 18 valeurs</t>
  </si>
  <si>
    <t>MACKAY second edition, volume IV. Handbook of Physical-Chemical Properties and Environmental Fate for Organic Chemicals. Moyenne géométrique de 7 valeurs</t>
  </si>
  <si>
    <t>US EPA-IRIS, 1987</t>
  </si>
  <si>
    <t>C6H6Cl6</t>
  </si>
  <si>
    <t>MACKAY second edition, volume IV. Handbook of Physical-Chemical Properties and Environmental Fate for Organic Chemicals. Valeur de solubilité valable pour 20°C de Kanazawa et al. (1971) et Brooks (1974)</t>
  </si>
  <si>
    <t>MACKAY second edition, volume IV. Handbook of Physical-Chemical Properties and Environmental Fate for Organic Chemicals. La valeur de Vp  à 10°C par Balson (1947)</t>
  </si>
  <si>
    <t>MACKAY second edition, volume IV. Handbook of Physical-Chemical Properties and Environmental Fate for Organic Chemicals. Moyenne géométrique de 9 valeurs</t>
  </si>
  <si>
    <t>US EPA-IRIS, 1987 - valeur de 1,8 (mg/kg.jr)-1</t>
  </si>
  <si>
    <t>US EPA-IRIS 1987 - valeur de 0,53 (mg/m³)-1</t>
  </si>
  <si>
    <t>Mackay, 2006 - Volume IV
Valeur à 15 °C par OECD (1981)</t>
  </si>
  <si>
    <t>MACKAY second edition, volume IV. Handbook of Physical-Chemical Properties and Environmental Fate for Organic Chemicals. La valeur de Vp  à 20-25°C par Wauchope et al. (1992)</t>
  </si>
  <si>
    <t>MACKAY second edition, volume IV. Handbook of Physical-Chemical Properties and Environmental Fate for Organic Chemicals. Moyenne géométrique de 13 valeurs - Log Kow = 2,81  (HSDB, INERIS, Verschueren)</t>
  </si>
  <si>
    <t>MACKAY second edition, volume IV. Handbook of Physical-Chemical Properties and Environmental Fate for Organic Chemicals. Moyenne géométrique de 39 valeurs</t>
  </si>
  <si>
    <t>MACKAY second edition, volume IV. Handbook of Physical-Chemical Properties and Environmental Fate for Organic Chemicals. médiane entre 6 valeurs</t>
  </si>
  <si>
    <t>C9H8Cl2O3</t>
  </si>
  <si>
    <t>Mackay, 2006 - Volume IV
Valeur à 20°C par Worthing &amp; Walker (1987, 1991)</t>
  </si>
  <si>
    <t>MACKAY second edition, volume IV. Handbook of Physical-Chemical Properties and Environmental Fate for Organic Chemicals. La valeur de Vp  à 20°C par Hartley &amp; Kidd (1987)</t>
  </si>
  <si>
    <t>MACKAY second edition, volume IV. Handbook of Physical-Chemical Properties and Environmental Fate for Organic Chemicals. Moyenne géométrique de 4 valeurs - Log Kow = 3,43  (HSDB)</t>
  </si>
  <si>
    <t>MACKAY second edition, volume IV. Handbook of Physical-Chemical Properties and Environmental Fate for Organic Chemicals. pKa = 3 (IUPAC, HSDB)</t>
  </si>
  <si>
    <t>OMS, 1993 (guideline 4th edition, 2011)</t>
  </si>
  <si>
    <t>C9H9ClO3</t>
  </si>
  <si>
    <t>MACKAY second edition, volume IV. Handbook of Physical-Chemical Properties and Environmental Fate for Organic Chemicals.</t>
  </si>
  <si>
    <t>Mackay, 2006 - Volume IV
Valeur à 20°C par Melnikov (1971)</t>
  </si>
  <si>
    <t>MACKAY second edition, volume IV. Handbook of Physical-Chemical Properties and Environmental Fate for Organic Chemicals. La valeur de Vp  à 20°C par Hartley &amp; Kidd (1987) et Milne (1995)</t>
  </si>
  <si>
    <t>MACKAY second edition, volume IV. Handbook of Physical-Chemical Properties and Environmental Fate for Organic Chemicals. Médiane de 8 valeurs car valeurs de log Kow négatives  - Log Kow = 3,25  (HSDB)</t>
  </si>
  <si>
    <t>MACKAY second edition, volume IV. Handbook of Physical-Chemical Properties and Environmental Fate for Organic Chemicals. médiane entre 4 valeurs</t>
  </si>
  <si>
    <t>C10H11ClO3</t>
  </si>
  <si>
    <t>Mackay, 2006 - Volume IV
Valeur à 20°C par Hartley &amp; Kidd (1987), Worthing &amp; Wlaker (1987), Worthing &amp; Hance (1991)</t>
  </si>
  <si>
    <t>MACKAY second edition, volume IV. Handbook of Physical-Chemical Properties and Environmental Fate for Organic Chemicals. La valeur de Vp  à 20°C par Worthing &amp; Hance (1991)</t>
  </si>
  <si>
    <t>MACKAY second edition, volume IV. Handbook of Physical-Chemical Properties and Environmental Fate for Organic Chemicals. Valeur recommandée par Mackay et proposée par HSDB car moyenne géométrique de 6 valeurs égale à 0,997</t>
  </si>
  <si>
    <t>MACKAY second edition, volume IV. Handbook of Physical-Chemical Properties and Environmental Fate for Organic Chemicals. Moyenne géométrique de 3 valeurs</t>
  </si>
  <si>
    <t>MACKAY second edition, volume IV. Handbook of Physical-Chemical Properties and Environmental Fate for Organic Chemicals. pKa = 3,11 (IUPAC, HSDB, INERIS)</t>
  </si>
  <si>
    <t>US EPA IRIS, 1989</t>
  </si>
  <si>
    <t>C12H21N2O3PS</t>
  </si>
  <si>
    <t>C14H20ClNO2</t>
  </si>
  <si>
    <t>Lide (2009-2010)</t>
  </si>
  <si>
    <t>PPDB (Pesticides Properties DataBase)- Valeur à 20 °C</t>
  </si>
  <si>
    <t>PPDB (Pesticides Properties DataBase) - Valeur à 25 °C - Même valeur indiquée à 20°C dans HSDB</t>
  </si>
  <si>
    <t>PPDB - idem RSL (US-EPA)</t>
  </si>
  <si>
    <t>PPDB (Pesticides Properties DataBase) et HSDB</t>
  </si>
  <si>
    <t>Calcul fait à partir de la loi de Karickhoff : Koc = 0,411 x Kow</t>
  </si>
  <si>
    <t xml:space="preserve"> EFSA (EU pesticides database)- A noter pesticide "not approved by EU". Autre valeur : 0,02 par US-EPA (dernière révision 1993)</t>
  </si>
  <si>
    <t>C12H12N2</t>
  </si>
  <si>
    <t>PPDB (Pesticides properties DataBase) - Valeur à 20°C . Cohérent avec Mackay (2006) - 700 000 mg/L à 25 °C citée 4 fois</t>
  </si>
  <si>
    <t>PPDB (Pesticides Properties DataBase) - Valeur à 25 °C</t>
  </si>
  <si>
    <t>RSL (US-EPA)</t>
  </si>
  <si>
    <t>PPDB (Pesticides Properties DataBase) - aussi citée 2 fois dans Mackay (2006)</t>
  </si>
  <si>
    <t>Mackay (2006) - Deux valeurs cohérentes : 0,420 et 0,425</t>
  </si>
  <si>
    <t>Commission Européenne (EU pesticides database) - pesticide "approved by EU". valeur pour le diquat dibromide- évaluation Commission</t>
  </si>
  <si>
    <t>C12H14N2</t>
  </si>
  <si>
    <t>PPDB (Pesticides Properties DataBase)- Valeur à 20 °C - Idem valeur HSDB</t>
  </si>
  <si>
    <t>PPDB</t>
  </si>
  <si>
    <t>PPDB (Pesticides Properties DataBase)- Valeur proche HSDB : -4,22</t>
  </si>
  <si>
    <t xml:space="preserve">Commission Européenne (EU pesticides database) - A noter pesticide "not approved by EU". Autre valeur : 4,5.10-3 (US-EPA, 1987) </t>
  </si>
  <si>
    <t>C3H8NO5P</t>
  </si>
  <si>
    <t>PPDB (Pesticides Properties DataBase)- Valeur à 20 °C - Cohérence avec valeurs à 25°C dans HSDB, Lide et Mackay (10000 - 12000 mg/L)</t>
  </si>
  <si>
    <t>Mackay (2006)- Valeur à 25°C (cohérent avec HSDB et PPDB qui proposent 1,30.10-5 Pa à 25°C)</t>
  </si>
  <si>
    <t>Mackay (2006) - Moyenne géométrique sur 7 valeurs- Valeurs HSDB (-3,4) et PPDB (-3,2)</t>
  </si>
  <si>
    <t>Mackay (2006) - Moyenne géométrique sur 6 valeurs</t>
  </si>
  <si>
    <t>US-EPA (dernière révision 1987)- Autre valeur : 0,3 mg/kg.j par l'EFSA (EU Pesticides database). A noter "pesticide approved by EU"</t>
  </si>
  <si>
    <t>C17H21NO2</t>
  </si>
  <si>
    <t xml:space="preserve"> Lide (2009-2010)</t>
  </si>
  <si>
    <t>Mackay (2006). Valeur à 20°C- Valeur idem Verchueren et HSDB, très proche de PPDB (74 mg/L)</t>
  </si>
  <si>
    <t>Mackay (2006). Valeur à 20°C-25°C - Très proche de HSDB (2,3.10-5 Pa) et identique à PPDB</t>
  </si>
  <si>
    <t>Mackay (2006). Moyenne géométrique sur 4 valeurs - valeurs HSDB (3,36) et PPDB (3,3)</t>
  </si>
  <si>
    <t>Mackay (2006). Moyenne géométrique sur 12 valeurs</t>
  </si>
  <si>
    <t>EFSA (EU Pesticides database) -  A noter pesticide "approved by EU". VTR de l'US-EPA retirée de la BD en juillet 2016</t>
  </si>
  <si>
    <t>C11H23NOS</t>
  </si>
  <si>
    <t>Mackay (2006)- Valeur à 20 °C. Très proche de HSDB et de PPDB : 45 mg/L</t>
  </si>
  <si>
    <t>Mackay (2006)- Valeur la plus élevée à 20°C.</t>
  </si>
  <si>
    <t>PPDB - proche valeur RSL (US-EPA)</t>
  </si>
  <si>
    <t>Mackay (2006). Moyenne géométrique sur 5 valeurs - Autres valeurs HSDB (4,15) et PPDB (4,1)</t>
  </si>
  <si>
    <t>Mackay (2006). Moyenne géométrique sur 8 valeurs</t>
  </si>
  <si>
    <t>US-EPA (dernière révision 1994) - A noter pesticide "not approved by EU"</t>
  </si>
  <si>
    <t>C9H17NOS</t>
  </si>
  <si>
    <t>Mackay (2006). Valeur à 20°C - Citée 2 fois + idem / proche valeur HSDB (970), Verschueren (880), PPDB (1100)</t>
  </si>
  <si>
    <t>Mackay (2006). Valeur à 20°C. Idem / proche valeur HSDB (0,746), PPDB (0,500)</t>
  </si>
  <si>
    <t>Mackay et al., 2006 - proche valeur RSL (US-EPA)</t>
  </si>
  <si>
    <t>Mackay (2006). Moyenne géométrique sur 9 valeurs - Autres valeurs HSDB (3,21) et PPDB (2,86)</t>
  </si>
  <si>
    <t>Mackay (2006). Moyenne géométrique sur 13 valeurs</t>
  </si>
  <si>
    <t>US-EPA (dernière révision 1988) et OMS (TDI, 1993)- Autre valeur : 0,008 mg/kg.j par la Commission Européenne - A noter pesticide "not approved by EU"</t>
  </si>
  <si>
    <t>C14H21NOS</t>
  </si>
  <si>
    <t>PPDB (Pesticides Properties DataBase)</t>
  </si>
  <si>
    <t>PPDB (Pesticides Properties DataBase)- Valeur à 20°C</t>
  </si>
  <si>
    <t>PPDB (Pesticides Properties DataBase) - Valeur à 25°C</t>
  </si>
  <si>
    <t>PPDB - 1 seule données disponible</t>
  </si>
  <si>
    <t>EFSA (EU Pesticides database) - A noter pesticide " approved by EU"</t>
  </si>
  <si>
    <t>C10H21NOS</t>
  </si>
  <si>
    <t xml:space="preserve">Mackay (2006). Valeur à 20°C. valeur Idem HSDB, Verschueren et PPDB </t>
  </si>
  <si>
    <t>Mackay (2006). Valeur à 20°C. Autres valeurs : 1,38 et 1,39 Pa à 25°C pour HSDB et PPDB respectivement</t>
  </si>
  <si>
    <t>Mackay (2006). Moyenne géométrique sur 4 valeurs- Idem HSDB et PPDB</t>
  </si>
  <si>
    <t>Mackay (2006). Moyenne géométrique sur 9 valeurs</t>
  </si>
  <si>
    <t>US-EPA (dernière révision 1987) - A noter pesticide " not approved by EU"</t>
  </si>
  <si>
    <t>C2H4Cl2</t>
  </si>
  <si>
    <t>C6H8N2O9</t>
  </si>
  <si>
    <t>US-EPA, 2016</t>
  </si>
  <si>
    <t>C3H5N3O9</t>
  </si>
  <si>
    <t>C7H7ClO</t>
  </si>
  <si>
    <t>1) le code VL renvoie vers les onglets "valeurs limites (VL)"</t>
  </si>
  <si>
    <t>ces références spécifiques renvoient vers l'onglet "VL - PNN sans VL"</t>
  </si>
  <si>
    <t>Cette base de données se veut évolutive et tient compte des retours d'expérience des experts. Une veille scientifique est également programmée pour cette base de données, avec une réévaluation des hypothèses de calcul: paramètres physico-chimiques, valeurs toxicologiques de référence, modèles, ...</t>
  </si>
  <si>
    <t>En cas de questions/remarques, ces dernières peuvent être adressées à Thomas Lambrechts (thomas.lambrechts@spw.wallonie.be)</t>
  </si>
  <si>
    <t>VLnappe-volatilisation (µg/L)</t>
  </si>
  <si>
    <t>regional screening levels (US-EPA)</t>
  </si>
  <si>
    <t>1e approche : considérer les valeurs limites calculées pour le 2-propanol</t>
  </si>
  <si>
    <t>C5H8N4O12</t>
  </si>
  <si>
    <t>calculé à partir de Log Kow = 2.38 (HSDB) avec loi de Karickhoff</t>
  </si>
  <si>
    <t>C10H14</t>
  </si>
  <si>
    <t>mackay et al., 2006 (moyenne géométrique de 6 valeurs)</t>
  </si>
  <si>
    <t>C12H9N</t>
  </si>
  <si>
    <t>C12H8N</t>
  </si>
  <si>
    <t>calculé à partir de Log Kow = 4.12 (HSDB) avec loi de Karickhoff</t>
  </si>
  <si>
    <t>C12H11NO2</t>
  </si>
  <si>
    <t>Mackay et al., 2006 (moyenne géométrique de 4 valeurs)</t>
  </si>
  <si>
    <t>calculé à partir de Log Kow = 4.11 (Mackay) avec loi de Karickhoff</t>
  </si>
  <si>
    <t>C7H5Cl2FN2O3</t>
  </si>
  <si>
    <t>calculé à partir de Log Kow = 1.51 (HSDB) avec loi de Karickhoff</t>
  </si>
  <si>
    <t>calculé à partir de Log Kow = 2.20 (HSDB) avec loi de Karickhoff</t>
  </si>
  <si>
    <t>motif absence VLN</t>
  </si>
  <si>
    <t>pas de Kd, calcul VLN impossible</t>
  </si>
  <si>
    <t>pas de VTR, pas de Vlnappe --&gt; calcul VLH et VLN impossibles</t>
  </si>
  <si>
    <t>composés présents dans les eaux sous forme d'ions --&gt; pas de VLN</t>
  </si>
  <si>
    <t>pas de log Kow, pas de constante de Henry --&gt; calcul VLN impossible</t>
  </si>
  <si>
    <t>pas de constante de Henry --&gt; calcul VLN impossible</t>
  </si>
  <si>
    <t>composé insoluble, pas de constante de Henry --&gt; calcul VLN impossible</t>
  </si>
  <si>
    <t>un polluant est considéré comme volatil s'il présente une pression de vapeur à 20 °C supérieure à 10-1 Pa</t>
  </si>
  <si>
    <t>°C</t>
  </si>
  <si>
    <t>20-25</t>
  </si>
  <si>
    <t>non déterminée</t>
  </si>
  <si>
    <t xml:space="preserve">non déterminée </t>
  </si>
  <si>
    <t>en première approche - se rapporter aux valeurs seuils calculées pour les chlorophénols</t>
  </si>
  <si>
    <t>à 20°C, Fiche INERIS</t>
  </si>
  <si>
    <t>Mackay, moyenne géométrique de 2 valeurs</t>
  </si>
  <si>
    <r>
      <t>OEHHA 2009 - Oral slope factor égal à 5,7.10</t>
    </r>
    <r>
      <rPr>
        <vertAlign val="superscript"/>
        <sz val="9"/>
        <rFont val="Verdana"/>
        <family val="2"/>
      </rPr>
      <t>-3</t>
    </r>
    <r>
      <rPr>
        <sz val="9"/>
        <rFont val="Verdana"/>
        <family val="2"/>
      </rPr>
      <t xml:space="preserve"> (mg/kg.j)</t>
    </r>
    <r>
      <rPr>
        <vertAlign val="superscript"/>
        <sz val="9"/>
        <rFont val="Verdana"/>
        <family val="2"/>
      </rPr>
      <t>-1</t>
    </r>
  </si>
  <si>
    <r>
      <t>OEHHA 2009 - Inhalation Unit Risk égal à 1,6.10</t>
    </r>
    <r>
      <rPr>
        <vertAlign val="superscript"/>
        <sz val="9"/>
        <rFont val="Verdana"/>
        <family val="2"/>
      </rPr>
      <t>-3</t>
    </r>
    <r>
      <rPr>
        <sz val="9"/>
        <rFont val="Verdana"/>
        <family val="2"/>
      </rPr>
      <t xml:space="preserve"> (mg/m3)</t>
    </r>
    <r>
      <rPr>
        <vertAlign val="superscript"/>
        <sz val="9"/>
        <rFont val="Verdana"/>
        <family val="2"/>
      </rPr>
      <t>-1</t>
    </r>
  </si>
  <si>
    <t>à définir</t>
  </si>
  <si>
    <t xml:space="preserve">référence "à définir" : aucune donnée pour les méthodes d'analyse n'est reprise pour ce PNN dans cette version de la base de données </t>
  </si>
  <si>
    <t>fonctions chimiques dans les solvants polaires: alcools cétones aldéhydes (Certains composés de la famille I 1 peuvent présenter des propriétés pouvant les rattacher à la famille A)</t>
  </si>
  <si>
    <t>Vous trouverez dans ce fichier des valeurs limites définies pour toute une série de polluants non repris dans l'annexe 1 du décret Sols (PNN - polluant non normé). Ces valeurs limites ont été élaborées conformément à l'Art 8 du décret sols, sur base des avis des organes désignés par le Gouvernement wallon, à savoir la SPAQuE et l'ISSeP. La base de données reprend également des recommandations en termes de méthodes de prélèvement et d'analyse.</t>
  </si>
  <si>
    <t>Coélution des 2,4- et 2,5-Dichlorophenol. La somme des isomères est déterminée. Séparation complète des isomères dans des conditions opératoires particulières.</t>
  </si>
  <si>
    <t>121-69-7</t>
  </si>
  <si>
    <t>91-66-7</t>
  </si>
  <si>
    <t>613-97-8</t>
  </si>
  <si>
    <t>95-53-4</t>
  </si>
  <si>
    <t>7440-55-3</t>
  </si>
  <si>
    <t>C₆H₅N(CH₃)₂</t>
  </si>
  <si>
    <t>2-(CH₃)C₆H₄NH₂</t>
  </si>
  <si>
    <t>Mackay (2006), HSDB, Verchueren (1996), PHYSPROP</t>
  </si>
  <si>
    <t>Mackay (2006), HSDB, Verchueren (1996)</t>
  </si>
  <si>
    <t>MACKAY (2006). Valeur EXP</t>
  </si>
  <si>
    <t>HSDB, PHYSPROP - Valeur de 0,70 mmHg à 25 °C (EXP)</t>
  </si>
  <si>
    <t>HSDB, PHYSPROP - Valeur de 0,26 mmHg à 25 °C (EXP)</t>
  </si>
  <si>
    <t>Mackay (2006), HSDB, Verchueren, PHYSPROP (EXP)</t>
  </si>
  <si>
    <t>Mackay (2006) - Moy géométrique de 3 valeurs (EXP)</t>
  </si>
  <si>
    <t>Mackay (2006) - (Calculated)</t>
  </si>
  <si>
    <t>Mackay (2006)- valeur très proche dans HSDB, PHYSPROP</t>
  </si>
  <si>
    <t>HSDB, PHYSPROP. Idem  Mackay (2006) - avec moyenne géométrique de 6 valeurs</t>
  </si>
  <si>
    <t>acide</t>
  </si>
  <si>
    <t>US-EPA (IRIS) - étude de gavage sur souris (1984) - dernière révision EPA 1987</t>
  </si>
  <si>
    <t>OEHHA - étude de gavage sur souris et rats (1979) - Oral Slope Factor  de 1,8.10-1 (mg/kg.j)-1</t>
  </si>
  <si>
    <t>OEHHA - étude de gavage sur souris et rats (1979) - Inhalation Unit Risk  de 5,1.10-5 (µg/m3)-1 dérivé de l'Oral Slope Factor</t>
  </si>
  <si>
    <t>HSDB, PHYSPROP</t>
  </si>
  <si>
    <t>Mackay (2006), HSDB, PHYSPROP</t>
  </si>
  <si>
    <t>pas de VTR --&gt; calcul VLH et VLN impossibles</t>
  </si>
  <si>
    <t>se rapporter aux valeurs limites du diméthylaniline (N,N-) en première approche</t>
  </si>
  <si>
    <t>96-76-4</t>
  </si>
  <si>
    <t>57-10-3</t>
  </si>
  <si>
    <t>out 21</t>
  </si>
  <si>
    <t>out 22</t>
  </si>
  <si>
    <t>57-11-4</t>
  </si>
  <si>
    <t>111-02-4</t>
  </si>
  <si>
    <t>out 23</t>
  </si>
  <si>
    <t>produit de la vie courante, les études toxicologiques actuelles ne statuent pas sur la toxicité de ce paramètre
acide gras saturé commun trouvé dans les graisses incluant l'huile d'olive, le beurre, le fromage,… : fabrication des margarines et des savons durs, aliment énergétique, industrie pharmaceutique</t>
  </si>
  <si>
    <t>produit de la vie courante, les études toxicologiques actuelles ne statuent pas sur la toxicité de ce paramètre
acide gras saturé, abondant dans toutes les graisses animales :  fabrication des huiles, bougies, savons</t>
  </si>
  <si>
    <t>produit de la vie courante, les études toxicologiques actuelles ne statuent pas sur la toxicité de ce paramètre
triterpène, lipide naturellement produit par tous les organismes supérieurs (notamment dans le sébum humain), présent dans l'huile de foie de requin, dans l'huile d'olive ; Utilisé en cosmétologie comme agent pénétrant dans les crèmes hydratantes, en pharmaceutique comme adjuvant dans les vaccins, comme complément alimentaire</t>
  </si>
  <si>
    <t>o-toluidine</t>
  </si>
  <si>
    <t>767-58-8</t>
  </si>
  <si>
    <t>1587-04-8</t>
  </si>
  <si>
    <t>135-01-3</t>
  </si>
  <si>
    <t>119-64-2</t>
  </si>
  <si>
    <t>527-53-7</t>
  </si>
  <si>
    <t>95-93-2</t>
  </si>
  <si>
    <t>1560-06-1</t>
  </si>
  <si>
    <t>934-80-5</t>
  </si>
  <si>
    <t>394-33-2</t>
  </si>
  <si>
    <t>1-methylindan</t>
  </si>
  <si>
    <t>1,2-diethylbenzene</t>
  </si>
  <si>
    <t xml:space="preserve">1,2,3,5-tetramethylbenzene </t>
  </si>
  <si>
    <t xml:space="preserve">4-fluoro-2-nitrophenol </t>
  </si>
  <si>
    <t xml:space="preserve">1,2,4,5-tetramethylbenzene </t>
  </si>
  <si>
    <t>composé phénolique moyennement soluble: en première approche, une comparaison avec les normes du phénol (annexe 1 décret sols) peut être envisagée</t>
  </si>
  <si>
    <t>108-20-3</t>
  </si>
  <si>
    <t>di-isopropylether (DIPE)</t>
  </si>
  <si>
    <t xml:space="preserve">en première approche, étant donné que les propriétés du DIPE sont assez similaires à celle du MTBE (Annexe1 décret sols), une comparaison peut être faite avec la VSH du MTBE. En cas de dépassement, une EDR-SH peut être réalisée en tenant compte des propriétés du DIPE et des VTR du MTBE.
En ce qui concerne la VLN, sur base d'un même raisonnement, cette VLN peut être estimée selon la méthodologie du GRER avec les propriétés du MTBE et la VLnappe reprise ci-contre du 1500 µg/l. En cas de dépassement de cette VLN,  une VLN affinée peut être calculée en teant compte des propriétés du DIPE  </t>
  </si>
  <si>
    <t>VLH
usage II
[mg/kg MS]</t>
  </si>
  <si>
    <t>CALCUL DES VL AVEC RISC-HUMAN</t>
  </si>
  <si>
    <t>VLH "REC-dayout"
usage I
[mg/kg MS]</t>
  </si>
  <si>
    <t>VLH "AGR"
usage II
[mg/kg MS]</t>
  </si>
  <si>
    <t>VLH "RES-veg"
usage III
[mg/kg MS]</t>
  </si>
  <si>
    <t>VLH "REC-dayin"
usage IV
[mg/kg MS]</t>
  </si>
  <si>
    <t>VLH "REC-dayout"
usage IV
[mg/kg MS]</t>
  </si>
  <si>
    <t>VLH "IND-l"
usage IV
[mg/kg MS]</t>
  </si>
  <si>
    <t>VLH "IND-l"
usage V
[mg/kg MS]</t>
  </si>
  <si>
    <t>VLH "IND-h"
usage V
[mg/kg MS]</t>
  </si>
  <si>
    <t>102-83-2</t>
  </si>
  <si>
    <t xml:space="preserve">Pour rappel, pour les PNN repris dans les fiches polluants de S-RISK, les données toxicologiques et physico-chimiques à prendre en compte sont celles reprises dans ces fiches </t>
  </si>
  <si>
    <t>PNN (nom ECHA)</t>
  </si>
  <si>
    <t>1,1,2,2-tetrachloroethane</t>
  </si>
  <si>
    <t>1,1-dichloroethane</t>
  </si>
  <si>
    <t>1,1-dichloroethylene</t>
  </si>
  <si>
    <t>1,2,3,4-tetrachlorobenzene</t>
  </si>
  <si>
    <t>1,2,3,5-tetrachlorobenzene</t>
  </si>
  <si>
    <t>1,2,3-trichlorobenzene</t>
  </si>
  <si>
    <t>1,2,4-trichlorobenzene</t>
  </si>
  <si>
    <t xml:space="preserve">1,2,3,4-tetrahydronaphthalene </t>
  </si>
  <si>
    <t>1,2,4,5-tetrachlorobenzene</t>
  </si>
  <si>
    <t>acronyme / autre nom usuel</t>
  </si>
  <si>
    <t>pseudocumene</t>
  </si>
  <si>
    <t>1,2,4-trimethylbenzene</t>
  </si>
  <si>
    <t>1,2-diaminotoluene, propoxylated</t>
  </si>
  <si>
    <t>1,2-dichlorobenzene</t>
  </si>
  <si>
    <t>1,3,5-trichlorobenzene</t>
  </si>
  <si>
    <t>1,3,5-trimethylbenzene</t>
  </si>
  <si>
    <t>1,3,5-trinitrobenzene</t>
  </si>
  <si>
    <t>1,3-dichlorobenzene</t>
  </si>
  <si>
    <t>1,4-dichlorobenzene</t>
  </si>
  <si>
    <t>1-allyl-2-methylbenzene</t>
  </si>
  <si>
    <t>n-propanol</t>
  </si>
  <si>
    <t>2,3,4,5-tetrachlorophenol</t>
  </si>
  <si>
    <t>2,3,4,6-tetrachlorophenol</t>
  </si>
  <si>
    <t>2,3,5,6-tetrachlorophenol</t>
  </si>
  <si>
    <t>2,3,5-trichlorophenol</t>
  </si>
  <si>
    <t>2,3,6-trichlorophenol</t>
  </si>
  <si>
    <t>2,3,7,8-TCDD</t>
  </si>
  <si>
    <t>2,3-dimethylphenol</t>
  </si>
  <si>
    <t>2,4,4-trimethylpentene</t>
  </si>
  <si>
    <t>2,4,5-trichlorophenol</t>
  </si>
  <si>
    <t>2,4,6-trichlorophenol</t>
  </si>
  <si>
    <t>TNT</t>
  </si>
  <si>
    <t>2,4,6-trinitrotoluene</t>
  </si>
  <si>
    <t>2,4-dichlorophenol</t>
  </si>
  <si>
    <t>2,4-dimethylphenol</t>
  </si>
  <si>
    <t>2,4-dinitrotoluene</t>
  </si>
  <si>
    <t>2,4-di-tert-butylphenol</t>
  </si>
  <si>
    <t>2,5-dichlorophenol</t>
  </si>
  <si>
    <t>2,5-dimethylphenol</t>
  </si>
  <si>
    <t>2,6-dichlorophenol</t>
  </si>
  <si>
    <t>2,6-dimethylphenol</t>
  </si>
  <si>
    <t>2,6-dinitrotoluene</t>
  </si>
  <si>
    <t>2-amino-4,6-dinitrotoluene</t>
  </si>
  <si>
    <t>MEK</t>
  </si>
  <si>
    <t>2-chlorophenol</t>
  </si>
  <si>
    <t>2-chlorotoluene</t>
  </si>
  <si>
    <t>2-ethylphenol</t>
  </si>
  <si>
    <t>3,4,5-trichlorophenol</t>
  </si>
  <si>
    <t>3,4-dichlorophenol</t>
  </si>
  <si>
    <t>3,4-dimethylphenol</t>
  </si>
  <si>
    <t>3,5-dichlorophenol</t>
  </si>
  <si>
    <t>3,5-dimethylphenol</t>
  </si>
  <si>
    <t>3-chlorophenol</t>
  </si>
  <si>
    <t>3-ethylphenol</t>
  </si>
  <si>
    <t>4-amino-2,6-dinitrotoluene</t>
  </si>
  <si>
    <t>4-chloro-3-methylphenol</t>
  </si>
  <si>
    <t>4-chlorophenol</t>
  </si>
  <si>
    <t>4-chlorotoluene</t>
  </si>
  <si>
    <t>4-ethyl-o-xylene</t>
  </si>
  <si>
    <t>4-ethyl-1,2-dimethylbenzene</t>
  </si>
  <si>
    <t>4-ethylphenol</t>
  </si>
  <si>
    <t>p-cymene</t>
  </si>
  <si>
    <t>4-isopropyltoluene</t>
  </si>
  <si>
    <t>4-nonylphenol</t>
  </si>
  <si>
    <t>o-diethylbenzene</t>
  </si>
  <si>
    <t>mesitylene</t>
  </si>
  <si>
    <t>butan-1-ol</t>
  </si>
  <si>
    <t>1-methylnaphthalene</t>
  </si>
  <si>
    <t>1-phenylbut-2-ene</t>
  </si>
  <si>
    <t>propan-1-ol</t>
  </si>
  <si>
    <t>2,3,7,8-tetrachlorodibenzo[b,e][1,4]dioxin</t>
  </si>
  <si>
    <t>2,3-xylenol</t>
  </si>
  <si>
    <t>2,4,4-trimethylpent-1-ene</t>
  </si>
  <si>
    <t>2,4,4-trimethylpent-2-ene</t>
  </si>
  <si>
    <t>2,4-dichlorophenoxyacetic acid</t>
  </si>
  <si>
    <t>dichlorprop</t>
  </si>
  <si>
    <t>2-(2,4-dichlorophenoxy) propionic acid</t>
  </si>
  <si>
    <t>2,4-xylenol</t>
  </si>
  <si>
    <t>2,5-xylenol</t>
  </si>
  <si>
    <t>2,6-xylenol</t>
  </si>
  <si>
    <t>butanone</t>
  </si>
  <si>
    <t>2-methylnaphthalene</t>
  </si>
  <si>
    <t>propan-2-ol</t>
  </si>
  <si>
    <t>isopropanol</t>
  </si>
  <si>
    <t>3,3,5-trimethylcyclohexan-1-one</t>
  </si>
  <si>
    <t>3,4,4-trimethylpent-2-ene</t>
  </si>
  <si>
    <t>3,5-xylenol</t>
  </si>
  <si>
    <t>2,2-bis(p-chlorophenyl)-1,1-dichloroethylene</t>
  </si>
  <si>
    <t>clofenotane</t>
  </si>
  <si>
    <t>1-chloro-4-[2,2-dichloro-1-(4-chlorophenyl)ethyl]benzene</t>
  </si>
  <si>
    <t>TDE</t>
  </si>
  <si>
    <t>chlorocresol</t>
  </si>
  <si>
    <t>propylbenzene</t>
  </si>
  <si>
    <t>p-nonylphenol</t>
  </si>
  <si>
    <t>acetaldehyde</t>
  </si>
  <si>
    <t>acetochlor</t>
  </si>
  <si>
    <t>acetone</t>
  </si>
  <si>
    <t>ethyl acetate</t>
  </si>
  <si>
    <t xml:space="preserve">2-chloro-N-(ethoxymethyl)-N-(2-ethyl-6-methylphenyl)acetamide </t>
  </si>
  <si>
    <t>acetonitrile</t>
  </si>
  <si>
    <t>hydrogen chloride</t>
  </si>
  <si>
    <t>hydrochloric acid</t>
  </si>
  <si>
    <t>hydrogen fluoride</t>
  </si>
  <si>
    <t>hydrofluoric acid</t>
  </si>
  <si>
    <t>nitric acid</t>
  </si>
  <si>
    <t>hexadecanoic acid</t>
  </si>
  <si>
    <t>palmitic acid</t>
  </si>
  <si>
    <t>propionic acid</t>
  </si>
  <si>
    <t>stearic acid</t>
  </si>
  <si>
    <t>octadecanoic acid</t>
  </si>
  <si>
    <t>sulphuric acid</t>
  </si>
  <si>
    <t>alpha-methylstyrene</t>
  </si>
  <si>
    <t>2-phenylpropene</t>
  </si>
  <si>
    <t>aluminium</t>
  </si>
  <si>
    <t>ammoniac</t>
  </si>
  <si>
    <t>ammonia, anhydrous</t>
  </si>
  <si>
    <t>antimony</t>
  </si>
  <si>
    <t>silver</t>
  </si>
  <si>
    <t>atrazine</t>
  </si>
  <si>
    <t>kjeldahl nitrogen</t>
  </si>
  <si>
    <t>nitrogen</t>
  </si>
  <si>
    <t>barium</t>
  </si>
  <si>
    <t>bentazone</t>
  </si>
  <si>
    <t>beryllium</t>
  </si>
  <si>
    <t>(1α,2β,3α,4β,5α,6β)-1,2,3,4,5,6-hexachlorocyclohexane</t>
  </si>
  <si>
    <t xml:space="preserve">Sodium hydrogencarbonate </t>
  </si>
  <si>
    <t>sodium bicarbonate</t>
  </si>
  <si>
    <t>bifenthrin</t>
  </si>
  <si>
    <t>diphenyl ether</t>
  </si>
  <si>
    <t>biphenyl</t>
  </si>
  <si>
    <t>bismuth</t>
  </si>
  <si>
    <t>Boron</t>
  </si>
  <si>
    <t>bromacil</t>
  </si>
  <si>
    <t>bromine</t>
  </si>
  <si>
    <t>bromobenzene</t>
  </si>
  <si>
    <t>bromodichloromethane</t>
  </si>
  <si>
    <t>bromoform</t>
  </si>
  <si>
    <t>bromomethane</t>
  </si>
  <si>
    <t>butylate</t>
  </si>
  <si>
    <t>benzyl butyl phthalate</t>
  </si>
  <si>
    <t>BBP</t>
  </si>
  <si>
    <t>carbendazim</t>
  </si>
  <si>
    <t>carbetamide</t>
  </si>
  <si>
    <t>caesium</t>
  </si>
  <si>
    <t>chloridazon</t>
  </si>
  <si>
    <t>pyrazon</t>
  </si>
  <si>
    <t>chlorobenzene</t>
  </si>
  <si>
    <t>chloroethane</t>
  </si>
  <si>
    <t>chloromethane</t>
  </si>
  <si>
    <t>chloropropham</t>
  </si>
  <si>
    <t>chlorotoluron</t>
  </si>
  <si>
    <t>ammonium chloride</t>
  </si>
  <si>
    <t>calcium chloride</t>
  </si>
  <si>
    <t>chlorides</t>
  </si>
  <si>
    <t>cobalt</t>
  </si>
  <si>
    <t>p-cresol</t>
  </si>
  <si>
    <t>m-cresol</t>
  </si>
  <si>
    <t>o-cresol</t>
  </si>
  <si>
    <t>cumene</t>
  </si>
  <si>
    <t>cyanazine</t>
  </si>
  <si>
    <t>S-ethyl N-cyclohexylthiocarbamate</t>
  </si>
  <si>
    <t>Bis(2-ethylhexyl) phthalate</t>
  </si>
  <si>
    <t>deisopropylatrazine</t>
  </si>
  <si>
    <t>1,3,5-Triazine-2,4-diamine, 6-chloro-N-ethyl-</t>
  </si>
  <si>
    <t>atrazine-desethyl</t>
  </si>
  <si>
    <t>terbuthylazin-desethyl</t>
  </si>
  <si>
    <t>D-glucitol, propoxylated</t>
  </si>
  <si>
    <t>di-allate</t>
  </si>
  <si>
    <t>diazinon</t>
  </si>
  <si>
    <t>dibenzofuran</t>
  </si>
  <si>
    <t>dibromochloromethane</t>
  </si>
  <si>
    <t>dicamba</t>
  </si>
  <si>
    <t>N,N-diethylaniline</t>
  </si>
  <si>
    <t>diethyl ether</t>
  </si>
  <si>
    <t>diethyl phthalate</t>
  </si>
  <si>
    <t>DIBP</t>
  </si>
  <si>
    <t>diisobutyl phthalate</t>
  </si>
  <si>
    <t>DINP</t>
  </si>
  <si>
    <t>di-"isononyl" phthalate</t>
  </si>
  <si>
    <t>N,N-dimethylaniline</t>
  </si>
  <si>
    <t>DMF</t>
  </si>
  <si>
    <t>N,N-dimethylformamide</t>
  </si>
  <si>
    <t>dimethyl phthalate</t>
  </si>
  <si>
    <t>dibutyl phthalate</t>
  </si>
  <si>
    <t>DNP</t>
  </si>
  <si>
    <t>dinonyl phthalate</t>
  </si>
  <si>
    <t>DPA</t>
  </si>
  <si>
    <t>diphenylamine</t>
  </si>
  <si>
    <t>diquat (source : EPA)</t>
  </si>
  <si>
    <t>diquat (source: PPDB)</t>
  </si>
  <si>
    <t>diquat dibromide</t>
  </si>
  <si>
    <t xml:space="preserve">6,7-dihydrodipyrido[1,2-a:2',1'-c]pyrazinediylium </t>
  </si>
  <si>
    <t>disulfoton</t>
  </si>
  <si>
    <t>carbon disulphide</t>
  </si>
  <si>
    <t>diuron</t>
  </si>
  <si>
    <t>dodecylbenzene</t>
  </si>
  <si>
    <t>epichlorhydrin</t>
  </si>
  <si>
    <t>1-chloro-2,3-epoxypropane</t>
  </si>
  <si>
    <t>heptachlor epoxide</t>
  </si>
  <si>
    <t>esprocarb</t>
  </si>
  <si>
    <t>S-(Phenylmethyl) (ethyl-(3-methylbutan-2-yl)amino)methanethioate</t>
  </si>
  <si>
    <t>tin</t>
  </si>
  <si>
    <t>ethanol</t>
  </si>
  <si>
    <t>ethiolat</t>
  </si>
  <si>
    <t>ethofumesate</t>
  </si>
  <si>
    <t>ethane-1,2-diol</t>
  </si>
  <si>
    <t>iron</t>
  </si>
  <si>
    <t>fluoroxypyr</t>
  </si>
  <si>
    <t>4-amino-3,5-dichloro-6-fluoro-2-pyridyloxyacetic acid</t>
  </si>
  <si>
    <t>fluorides</t>
  </si>
  <si>
    <t>formaldehyde</t>
  </si>
  <si>
    <t>gallium</t>
  </si>
  <si>
    <t>Glycerol, propoxylated</t>
  </si>
  <si>
    <t>glyphosate</t>
  </si>
  <si>
    <t>hexachlorobenzene</t>
  </si>
  <si>
    <t>Hexachlorobuta-1,3-diene</t>
  </si>
  <si>
    <t>N-hexane</t>
  </si>
  <si>
    <t>hexazinone</t>
  </si>
  <si>
    <t>3-cyclohexyl-6-dimethylamino-1-methyl-1,2,3,4-tetrahydro-1,3,5-triazine-2,4-dione</t>
  </si>
  <si>
    <t>Octahydro-1,3,5,7-tetranitro-1,3,5,7-tetrazocine</t>
  </si>
  <si>
    <t>octogen ; HMX</t>
  </si>
  <si>
    <t>isodrin</t>
  </si>
  <si>
    <t>(1α,4α,4aβ,5β,8β8aβ)-1,2,3,4,10,10-hexachloro-1,4,4a,5,8,8a-hexahydro-1,4:5,8-dimethanonaphthalene</t>
  </si>
  <si>
    <t>isoproturon</t>
  </si>
  <si>
    <t>3-(4-isopropylphenyl)-1,1-dimethylurea</t>
  </si>
  <si>
    <t>lindane</t>
  </si>
  <si>
    <t>γ-HCH</t>
  </si>
  <si>
    <t>linuron</t>
  </si>
  <si>
    <t>lithium</t>
  </si>
  <si>
    <t>manganese</t>
  </si>
  <si>
    <t>(4-chloro-2-methylphenoxy)acetic acid</t>
  </si>
  <si>
    <t>mecoprop</t>
  </si>
  <si>
    <t>2-(4-chloro-2-methylphenoxy)propionic acid</t>
  </si>
  <si>
    <t>mcpa</t>
  </si>
  <si>
    <t>metamitron</t>
  </si>
  <si>
    <t>4-amino-3-methyl-6-phenyl-1,2,4-triazin-5-one</t>
  </si>
  <si>
    <t>metazachlor</t>
  </si>
  <si>
    <t>2-chloro-N-(2,6-dimethylphenyl)-N-(1H-pyrazol-1-ylmethyl)acetamide</t>
  </si>
  <si>
    <t>methabenzthiazuron</t>
  </si>
  <si>
    <t>methanol</t>
  </si>
  <si>
    <t>N-ethyl-N-methylaniline</t>
  </si>
  <si>
    <t>metobromuron</t>
  </si>
  <si>
    <t>metolachlor</t>
  </si>
  <si>
    <t>2-chloro-2'-ethyl-N-(2-methoxy-1-methylethyl)-6'-methylacetanilide</t>
  </si>
  <si>
    <t>metoxuron</t>
  </si>
  <si>
    <t>molinate</t>
  </si>
  <si>
    <t>molybdenum</t>
  </si>
  <si>
    <t>monolinuron</t>
  </si>
  <si>
    <t>3-picoline</t>
  </si>
  <si>
    <t>3-methylpyridine</t>
  </si>
  <si>
    <t>napropamide</t>
  </si>
  <si>
    <t>butylbenzene</t>
  </si>
  <si>
    <t>nitrate</t>
  </si>
  <si>
    <t>nitrite</t>
  </si>
  <si>
    <t>cellulose nitrate</t>
  </si>
  <si>
    <t>nitroglycerine</t>
  </si>
  <si>
    <t>Glycerol trinitrate</t>
  </si>
  <si>
    <t>2,2,2,o,p'-pentachloroethylidenebisbenzene</t>
  </si>
  <si>
    <t>2-picoline</t>
  </si>
  <si>
    <t>2-methylpyridine</t>
  </si>
  <si>
    <t>orbencarb</t>
  </si>
  <si>
    <t>propylene oxide</t>
  </si>
  <si>
    <t>methyloxirane</t>
  </si>
  <si>
    <t>S-(2-chlorobenzyl) N,N-diethylthiocarbamate</t>
  </si>
  <si>
    <t>paraquat dichloride</t>
  </si>
  <si>
    <t>paraquat (source: EPA)</t>
  </si>
  <si>
    <t>paraquat (source: HSDB, PPDB)</t>
  </si>
  <si>
    <t>1,1'-dimethyl-4,4'-bipyridinium</t>
  </si>
  <si>
    <t>2,3',4,4',5-pentachlorobiphenyl</t>
  </si>
  <si>
    <t>2,2',3,4,4',5'-hexachlorobiphenyl</t>
  </si>
  <si>
    <t>2,2',4,4',5,5'-Hexachlorobiphenyl</t>
  </si>
  <si>
    <t xml:space="preserve">2,2',3,4,4',5,5'-heptachlorobiphenyl </t>
  </si>
  <si>
    <t xml:space="preserve">2,4,4'-trichlorobiphenyl </t>
  </si>
  <si>
    <t>2,2',5,5'-tetrachlorobiphenyl</t>
  </si>
  <si>
    <t>Polychlorinated biphenyls (PCB)</t>
  </si>
  <si>
    <t>pebulate</t>
  </si>
  <si>
    <t>pentachlorobenzene</t>
  </si>
  <si>
    <t>pentachlorophenol</t>
  </si>
  <si>
    <t>penthrite ; PETN</t>
  </si>
  <si>
    <t>pentaerithrityl tetranitrate</t>
  </si>
  <si>
    <t>phosphorus</t>
  </si>
  <si>
    <t>picoline</t>
  </si>
  <si>
    <t>methylpyridine</t>
  </si>
  <si>
    <t>4-picoline</t>
  </si>
  <si>
    <t>4-methylpyridine</t>
  </si>
  <si>
    <t>prometryn</t>
  </si>
  <si>
    <t>propachlor</t>
  </si>
  <si>
    <t>propane-1,2-diol, propoxylated</t>
  </si>
  <si>
    <t>propanil</t>
  </si>
  <si>
    <t>propazine</t>
  </si>
  <si>
    <t>prosulfocarb</t>
  </si>
  <si>
    <t>RDX ; hexogen</t>
  </si>
  <si>
    <t>perhydro-1,3,5-trinitro-1,3,5-triazine</t>
  </si>
  <si>
    <t>sebuthylazine</t>
  </si>
  <si>
    <t>sec-butylbenzene</t>
  </si>
  <si>
    <t>selenium</t>
  </si>
  <si>
    <t>EPTC</t>
  </si>
  <si>
    <t>S-ethyl dipropylthiocarbamate</t>
  </si>
  <si>
    <t>silicon</t>
  </si>
  <si>
    <t>simazine</t>
  </si>
  <si>
    <t>cresol</t>
  </si>
  <si>
    <t>sulfur</t>
  </si>
  <si>
    <t>squalene</t>
  </si>
  <si>
    <t>2,6,10,15,19,23-hexamethyltetracosa-2,6,10,14,18,22-hexaene</t>
  </si>
  <si>
    <t>strontium</t>
  </si>
  <si>
    <t>sulfate</t>
  </si>
  <si>
    <t>tellurium</t>
  </si>
  <si>
    <t>terbuthylazine</t>
  </si>
  <si>
    <t>terbutryn</t>
  </si>
  <si>
    <t>tert-butanol</t>
  </si>
  <si>
    <t>2-methylpropan-2-ol</t>
  </si>
  <si>
    <t>tert-butylbenzene</t>
  </si>
  <si>
    <t>thallium</t>
  </si>
  <si>
    <t>thymol</t>
  </si>
  <si>
    <t>titanium</t>
  </si>
  <si>
    <t>TCPP</t>
  </si>
  <si>
    <t>tris(2-chloro-1-methylethyl)phosphate</t>
  </si>
  <si>
    <t>tungsten</t>
  </si>
  <si>
    <t>vanadium</t>
  </si>
  <si>
    <t>vernolate</t>
  </si>
  <si>
    <t>S-propyl dipropylthiocarbamate</t>
  </si>
  <si>
    <t>PCB (somme des 7 congénères de Ballschmiter)</t>
  </si>
  <si>
    <t xml:space="preserve">cumene
</t>
  </si>
  <si>
    <t>β-HCH</t>
  </si>
  <si>
    <t xml:space="preserve">108-20-3
</t>
  </si>
  <si>
    <t>DIPE</t>
  </si>
  <si>
    <t>Diisopropyl ether</t>
  </si>
  <si>
    <t>C12H7Cl3</t>
  </si>
  <si>
    <t>C12H6Cl4</t>
  </si>
  <si>
    <t>C12H5Cl5</t>
  </si>
  <si>
    <t>C12H4Cl6</t>
  </si>
  <si>
    <t>C12H3Cl7</t>
  </si>
  <si>
    <t>526-73-8</t>
  </si>
  <si>
    <t>142-82-5</t>
  </si>
  <si>
    <t>7439-97-6</t>
  </si>
  <si>
    <t>111-65-9</t>
  </si>
  <si>
    <t xml:space="preserve">1,2,3-trimethylbenzene </t>
  </si>
  <si>
    <t>heptane</t>
  </si>
  <si>
    <t>mercury (elemental)</t>
  </si>
  <si>
    <t>octane</t>
  </si>
  <si>
    <t>1,2,3-trimethylbenzene</t>
  </si>
  <si>
    <t>non calculée</t>
  </si>
  <si>
    <t>En présence  de polluants pertinents non repris dans cette base de données, l'expert effectue une demande d'avis conformément aux recommandations reprises sur le site internet. Cette demande comporte des renseignements relatifs au terrain concerné, aux  polluants ainsi qu’aux méthodes d’analyses préconisées sur base d’un formulaire qui doit être préalablement rempli par le laboratoire.</t>
  </si>
  <si>
    <t>non déterminé</t>
  </si>
  <si>
    <r>
      <t>Les protocoles de calcul des valeurs limites et de sélection des méthodes analytiques sont disponibles sur le site internet</t>
    </r>
    <r>
      <rPr>
        <strike/>
        <sz val="11"/>
        <color theme="1"/>
        <rFont val="Calibri"/>
        <family val="2"/>
        <scheme val="minor"/>
      </rPr>
      <t xml:space="preserve"> </t>
    </r>
    <r>
      <rPr>
        <b/>
        <sz val="11"/>
        <rFont val="Calibri"/>
        <family val="2"/>
        <scheme val="minor"/>
      </rPr>
      <t>http://dps.environnement.wallonie.be/home.html</t>
    </r>
  </si>
  <si>
    <r>
      <t xml:space="preserve">Ces valeurs limites ne doivent pas être considérées comme des normes au sens du décret sols. Il s'agit de recommandations à destination des experts agréés en gestion des sols pollués. Il appartient à l'expert de toujours analyser les hypothèses et procédures de calcul ayant mené à la détermination de ces valeurs. Il </t>
    </r>
    <r>
      <rPr>
        <sz val="11"/>
        <rFont val="Calibri"/>
        <family val="2"/>
        <scheme val="minor"/>
      </rPr>
      <t>convient également à l'expert de se référer au CWBP (Code Wallon de Bonnes Pratiques) en ce qui concerne la bonne utilisation de ces valeurs dans le cadre de la réalisation des études de sols et leur représentativité sur le terrain concerné</t>
    </r>
    <r>
      <rPr>
        <sz val="11"/>
        <color theme="1"/>
        <rFont val="Calibri"/>
        <family val="2"/>
        <scheme val="minor"/>
      </rPr>
      <t>.</t>
    </r>
  </si>
  <si>
    <t>B3</t>
  </si>
  <si>
    <t>Autres phénols</t>
  </si>
  <si>
    <t>101 -- 102</t>
  </si>
  <si>
    <t xml:space="preserve">Attention particulière à apporter à la qualité des blancs analytiques </t>
  </si>
  <si>
    <t>101 - 102</t>
  </si>
  <si>
    <t>Dans certains cas, il est impossible de séparer complètement les isomères. La somme est
alors rapportée.</t>
  </si>
  <si>
    <t>Herbicides - fongicides</t>
  </si>
  <si>
    <t>HPLC-MS</t>
  </si>
  <si>
    <t>Norme Eau. Certains contaminants peuvent également être analysés par HPLC/MS</t>
  </si>
  <si>
    <t>Distillation azéotropique GC/MS</t>
  </si>
  <si>
    <t>EPA METHOD 5031</t>
  </si>
  <si>
    <t>EPA METHOD 8260b</t>
  </si>
  <si>
    <t>Distillation sous vide GC/MS</t>
  </si>
  <si>
    <t>EPA METHOD 5032</t>
  </si>
  <si>
    <t>Carbazole</t>
  </si>
  <si>
    <t>MA. 400 - COSV 1.0</t>
  </si>
  <si>
    <t>alkylphénols</t>
  </si>
  <si>
    <t>GC-MS après dérivatisation (extraction liq/liq)</t>
  </si>
  <si>
    <t>NBN EN ISO 18857-1 : 2005</t>
  </si>
  <si>
    <t>Norme eau</t>
  </si>
  <si>
    <t>GC-MS après dérivatisation (extraction SPE)</t>
  </si>
  <si>
    <t>NBN EN ISO 18857-2 : 2012</t>
  </si>
  <si>
    <t>LC/MS/MS (extraction SPE)</t>
  </si>
  <si>
    <t>NBN EN ISO 15680</t>
  </si>
  <si>
    <t>E-III-1.1</t>
  </si>
  <si>
    <t>Lors du prélèvement, boucher les récipients en évitant de laisser un espace de tête. Lorsque les échantillons contiennent du chlore libre ou un autre oxydant fort, il convient d'ajouter dans le récipient du thiosulfate de sodium solide ou un autre sel réducteur. De plus, pour préserver les composés aromatiques dans les eaux de surface, il convient d'abaisser le pH à 2 à l'aide d'hydrogénosulfate de sodium.</t>
  </si>
  <si>
    <t>ISO/DIS 20595</t>
  </si>
  <si>
    <t>E-III-1.2</t>
  </si>
  <si>
    <t>NBN EN 12673 : 1999</t>
  </si>
  <si>
    <t>MA. 400 - Phé 1.0</t>
  </si>
  <si>
    <t>GC/MS</t>
  </si>
  <si>
    <t>NBN EN ISO 18856 : 2005</t>
  </si>
  <si>
    <t>Digestion acide</t>
  </si>
  <si>
    <t>NBN EN ISO 15587-1 : 2002</t>
  </si>
  <si>
    <t>NBN EN ISO 15587-2 : 2002</t>
  </si>
  <si>
    <t>A appliquer en fonction de la nature de l'eau</t>
  </si>
  <si>
    <t>NBN EN ISO 11885 : 2009</t>
  </si>
  <si>
    <t>E-II-1.2.1</t>
  </si>
  <si>
    <t>AAS (électrothermique)</t>
  </si>
  <si>
    <t>NBN EN ISO 15586 : 2003</t>
  </si>
  <si>
    <t>E-II-1.1</t>
  </si>
  <si>
    <t>ICP-MS</t>
  </si>
  <si>
    <t>NBN EN ISO 17294-1 : 2006</t>
  </si>
  <si>
    <t>NBN EN ISO 17294-2 : 2016</t>
  </si>
  <si>
    <t>E-II-1.2.2</t>
  </si>
  <si>
    <t>NBN EN ISO 12846 : 2012</t>
  </si>
  <si>
    <t>E-II-2.1</t>
  </si>
  <si>
    <t>NBN EN ISO 17852 : 2008</t>
  </si>
  <si>
    <t>E-II-2.2</t>
  </si>
  <si>
    <t>Insecticides  organochlorés,  PCB, chlorobenzènes</t>
  </si>
  <si>
    <t>NBN EN ISO 6468:1997</t>
  </si>
  <si>
    <t>E-III-6</t>
  </si>
  <si>
    <t>ISO/TS 28581 : 2012</t>
  </si>
  <si>
    <t>ISO 18073 : 2004</t>
  </si>
  <si>
    <t>Analyse séquentielle</t>
  </si>
  <si>
    <t>ISO 15923-1 : 2013</t>
  </si>
  <si>
    <t>Analyse en flux (CFA et FIA)</t>
  </si>
  <si>
    <t>NBN EN ISO 11732 : 2005</t>
  </si>
  <si>
    <t>HPLC-UV (MS) après dérivatisation</t>
  </si>
  <si>
    <t>ISO 22478 : 2006</t>
  </si>
  <si>
    <t>E-II-7</t>
  </si>
  <si>
    <t>Dioxane</t>
  </si>
  <si>
    <t xml:space="preserve">EPA Méthode 522 EPA/600/R-08/101 </t>
  </si>
  <si>
    <t>Pesticides organoazotés et organophosphorés</t>
  </si>
  <si>
    <t>GC-NDP (MS)</t>
  </si>
  <si>
    <t>ISO 10695 : 2000</t>
  </si>
  <si>
    <t>MA. 403 - Pest 3.1</t>
  </si>
  <si>
    <t>NBN EN ISO 11369 : 1997</t>
  </si>
  <si>
    <t>NBN EN 14207 : 2003</t>
  </si>
  <si>
    <t>HAP - Carbazole</t>
  </si>
  <si>
    <t>HPLC-DAD/FLD</t>
  </si>
  <si>
    <t>NBN EN ISO 17993 : 2004</t>
  </si>
  <si>
    <t>E-III-3.1</t>
  </si>
  <si>
    <t>ISO 28540:2011</t>
  </si>
  <si>
    <t>E-III-3.2</t>
  </si>
  <si>
    <t>Certains contaminants peuvent également être analysés par HPLC/MS</t>
  </si>
  <si>
    <t>Conservation &lt; 8°C et abri de la lumière</t>
  </si>
  <si>
    <t>MATRICE SOL</t>
  </si>
  <si>
    <t>MATRICE EAU SOUTERRAINE</t>
  </si>
  <si>
    <t>1,4-dioxane</t>
  </si>
  <si>
    <t>123-91-1</t>
  </si>
  <si>
    <t>A3</t>
  </si>
  <si>
    <t xml:space="preserve">LQ 
µg/l
</t>
  </si>
  <si>
    <t>Matrice eau souterraine</t>
  </si>
  <si>
    <t>cresol (somme)</t>
  </si>
  <si>
    <t>Somme de o,m,p-cresol</t>
  </si>
  <si>
    <t>4,4'-isopropylidenediphenol</t>
  </si>
  <si>
    <t>80-05-7</t>
  </si>
  <si>
    <t>B 3</t>
  </si>
  <si>
    <t>Coélution avec le Tetrachlorobenzene, 1,2,4,5-</t>
  </si>
  <si>
    <t>non défini</t>
  </si>
  <si>
    <t>106 -- 107 -- 108</t>
  </si>
  <si>
    <t>106 -- 108</t>
  </si>
  <si>
    <t>Méthode spéciale de digestion peut être appliquée voir annexe A ISO11885</t>
  </si>
  <si>
    <t>107 -- 108</t>
  </si>
  <si>
    <t>108 -- 109</t>
  </si>
  <si>
    <t>gallium (Ga)</t>
  </si>
  <si>
    <t>Ammoniac : Dosage de l'ammonium en µgN-NH4/l</t>
  </si>
  <si>
    <t>Mesure du pH et des fluorures dans l'eau comme indication de présence d'acide fluorhydrique</t>
  </si>
  <si>
    <t>Mesure du pH et des chlorures sur lixiviat comme indication de présence d'acide chlorhydrique</t>
  </si>
  <si>
    <t>Mesure du pH et des sulfates dans l'eau comme indication de présence d'acide sulfurique</t>
  </si>
  <si>
    <t>Mesure du pH et des nitrates dans l'eau comme indication de présence d'acide nitrique</t>
  </si>
  <si>
    <t>A1</t>
  </si>
  <si>
    <t>A2</t>
  </si>
  <si>
    <t>usage IV 
[mg/kg MS]</t>
  </si>
  <si>
    <t>usage V
[mg/kg MS]</t>
  </si>
  <si>
    <t>67-72-1</t>
  </si>
  <si>
    <t>58334-79-5</t>
  </si>
  <si>
    <t>diphenyl oxide</t>
  </si>
  <si>
    <t>bisphenol A</t>
  </si>
  <si>
    <t>hexachloroethane</t>
  </si>
  <si>
    <t>tetrachlorobutadiene</t>
  </si>
  <si>
    <t>1,2,3,4-tetrachloro-1,3-butadiene</t>
  </si>
  <si>
    <t>104-76-7</t>
  </si>
  <si>
    <t>2-methylbutan-1-ol</t>
  </si>
  <si>
    <t>137-32-6</t>
  </si>
  <si>
    <t>pentan-1-ol</t>
  </si>
  <si>
    <t>71-41-0</t>
  </si>
  <si>
    <t>78-83-1</t>
  </si>
  <si>
    <t>methyl isobutyl carbinol</t>
  </si>
  <si>
    <t>108-11-2</t>
  </si>
  <si>
    <t>1314-80-3</t>
  </si>
  <si>
    <t>68131-73-7</t>
  </si>
  <si>
    <t>90640-67-8</t>
  </si>
  <si>
    <t>125643-61-0</t>
  </si>
  <si>
    <t>bis(nonylphenyl)amine</t>
  </si>
  <si>
    <t>36878-20-3</t>
  </si>
  <si>
    <t>128-39-2</t>
  </si>
  <si>
    <t>84-15-1</t>
  </si>
  <si>
    <t>1,2-diphenylbenzene</t>
  </si>
  <si>
    <t>92-06-8</t>
  </si>
  <si>
    <t>92-94-4</t>
  </si>
  <si>
    <t>1,3-diphenylbenzene</t>
  </si>
  <si>
    <t>1,4-diphenylbenzene</t>
  </si>
  <si>
    <t>16721-80-5</t>
  </si>
  <si>
    <t>7681-52-9</t>
  </si>
  <si>
    <t>1310-73-2</t>
  </si>
  <si>
    <t>112-57-2</t>
  </si>
  <si>
    <t>tetraethylenepentamine</t>
  </si>
  <si>
    <t>2-ethylhexan-1-ol</t>
  </si>
  <si>
    <t>2-methylpropan-1-ol</t>
  </si>
  <si>
    <t>Isobutanol</t>
  </si>
  <si>
    <t>4-methylpentan-2-ol</t>
  </si>
  <si>
    <t>diphosphorus pentasulphide</t>
  </si>
  <si>
    <t>108-31-6</t>
  </si>
  <si>
    <t>maleic anhydride</t>
  </si>
  <si>
    <t>2,5 Furandione</t>
  </si>
  <si>
    <t>amines, polyethylenepoly-</t>
  </si>
  <si>
    <t>amines, polyethylenepoly-, triethylenetetramine fraction</t>
  </si>
  <si>
    <t>2-ethylpentyl 3-(3,5-di-tert-butyl-4-hydroxyphenyl)propanoate</t>
  </si>
  <si>
    <t>Benzenepropanoic acid, 3,5-bis(1,1-dimethylethyl)-4-hydroxy-, C7-9-branched alkyl esters</t>
  </si>
  <si>
    <t>2,6-di-tert-butylphenol</t>
  </si>
  <si>
    <t>o-terphenyl</t>
  </si>
  <si>
    <t>m-terphenyl</t>
  </si>
  <si>
    <t>p-terphenyl</t>
  </si>
  <si>
    <t>sodium hydrogensulphide</t>
  </si>
  <si>
    <t>sodium hypochlorite</t>
  </si>
  <si>
    <t>bleach ; eau de javel</t>
  </si>
  <si>
    <t>sodium hydroxyde</t>
  </si>
  <si>
    <t>caustic soda</t>
  </si>
  <si>
    <t>3,6,9-triazaundecamethylenediamine</t>
  </si>
  <si>
    <t>1,2-dioxane</t>
  </si>
  <si>
    <t>1,3-dioxane</t>
  </si>
  <si>
    <t>505-22-6</t>
  </si>
  <si>
    <t>out 24</t>
  </si>
  <si>
    <t>non pertinent</t>
  </si>
  <si>
    <t>solide instable hygroscopique qui brule dans l'air pour former du pentoxyde de phosphore et du dioxide de soufre [Lewis et al. 2007 in HSBD] et se décompose dans l'eau en formant de l'acide phosphorique et du sulfure d'hydrogène [O'Neil, 2006 in HSBD]. Présence dans les sols exclue du fait de sa forte réactivité. Utiliser le soufre total comme traceur des produits de dégradation.</t>
  </si>
  <si>
    <r>
      <rPr>
        <b/>
        <sz val="11"/>
        <color theme="1"/>
        <rFont val="Calibri"/>
        <family val="2"/>
        <scheme val="minor"/>
      </rPr>
      <t xml:space="preserve">VLN et Vlnappe </t>
    </r>
    <r>
      <rPr>
        <b/>
        <u/>
        <sz val="11"/>
        <color theme="1"/>
        <rFont val="Calibri"/>
        <family val="2"/>
        <scheme val="minor"/>
      </rPr>
      <t>indicatives</t>
    </r>
    <r>
      <rPr>
        <sz val="11"/>
        <color theme="1"/>
        <rFont val="Calibri"/>
        <family val="2"/>
        <scheme val="minor"/>
      </rPr>
      <t xml:space="preserve"> car VTR orale dérivée de la VTR inhalation</t>
    </r>
  </si>
  <si>
    <t xml:space="preserve">l'annexe XXXII du Code de l'eau, indiquant les substances autorisées pour le traitement de l'eau destinée à la consommation humaine, établit une dose maximale à mettre en œuvre pour la désinfection ou l'oxydation de l'eau égale à 100 g (de Cl2) / m³ </t>
  </si>
  <si>
    <t xml:space="preserve">l'annexe XXXII du Code de l'eau, indiquant les substances autorisées pour le traitement de l'eau destinée à la consommation humaine, établit une dose maximale à mettre en œuvre pour la désinfection ou l'oxydation de l'eau égale à 30 g (de Cl2) / m³ </t>
  </si>
  <si>
    <t>une valeur indicative (maximaal toelaatbaar risiconiveau) pour les eaux de surface ext proposée par le RIVM égale à 0.004 mg/l</t>
  </si>
  <si>
    <t>commentaires</t>
  </si>
  <si>
    <t>VLH AGR : valeur indicative, pas de "BTF" expérimentaux obtenues</t>
  </si>
  <si>
    <r>
      <t>VLH AGR : valeur indicative, pas de "BTF</t>
    </r>
    <r>
      <rPr>
        <b/>
        <vertAlign val="subscript"/>
        <sz val="11"/>
        <color rgb="FFFF0000"/>
        <rFont val="Calibri"/>
        <family val="2"/>
        <scheme val="minor"/>
      </rPr>
      <t>meat"</t>
    </r>
    <r>
      <rPr>
        <b/>
        <sz val="11"/>
        <color rgb="FFFF0000"/>
        <rFont val="Calibri"/>
        <family val="2"/>
        <scheme val="minor"/>
      </rPr>
      <t xml:space="preserve"> expérimentaux obtenues</t>
    </r>
  </si>
  <si>
    <t>isopropylbenzene</t>
  </si>
  <si>
    <t>Attention - valeurs noircies en cas de calcul avec S-Risk</t>
  </si>
  <si>
    <t>VLH AGR et VLH RES-veg : valeurs indicatives: valeurs très basses calculées avec S-Risk --&gt;  VLH fixées pour usages II et III à 0,24 mg/kg (norme d'intervention pour les sols de l'Arrêté du Gouvernement de la Région Bruxelles-Capitale du 8 octobre 2015)</t>
  </si>
  <si>
    <t>VLH AGR/ VLH RES-veg : valeurs indicatives - BCF calculés avec les relations de Briggs et al. (1982, 1983) dont l'intervalle d'application est de -0,57&lt;log Kow &lt; 3,7. Etant donné que le 1,4-dioxane a un logKow = -0,27 =&gt; calcul des BCF barré au log Kow = -0,57</t>
  </si>
  <si>
    <t>Calcul des VLH avec S-Risk APPLICATION I (Buffer space = 0.75)</t>
  </si>
  <si>
    <t>3780-73-2</t>
  </si>
  <si>
    <t>Formule SMILES</t>
  </si>
  <si>
    <t>C1=CC(=CC=C1C2=C(C=C(C=C2)Cl)Cl)Cl</t>
  </si>
  <si>
    <t>composé organique ?</t>
  </si>
  <si>
    <t>composé se dissociant ?</t>
  </si>
  <si>
    <t>oui</t>
  </si>
  <si>
    <t>non</t>
  </si>
  <si>
    <t>type : acide ou base</t>
  </si>
  <si>
    <t>acide / base</t>
  </si>
  <si>
    <t>C6H10ClN5</t>
  </si>
  <si>
    <r>
      <t xml:space="preserve">constante de dissociation acide </t>
    </r>
    <r>
      <rPr>
        <b/>
        <sz val="10"/>
        <rFont val="Arial"/>
        <family val="2"/>
      </rPr>
      <t>pKa</t>
    </r>
  </si>
  <si>
    <t>Température pour S</t>
  </si>
  <si>
    <t>Température pour Vp</t>
  </si>
  <si>
    <t>Température pour H</t>
  </si>
  <si>
    <t>Coefficient de perméation dans la conduite d'eau Dpe</t>
  </si>
  <si>
    <t>Coefficient de perméation Dpvc</t>
  </si>
  <si>
    <t>[2]-[4]</t>
  </si>
  <si>
    <t>[4], EXP</t>
  </si>
  <si>
    <t>[4]</t>
  </si>
  <si>
    <t>[2], valeur la plus sécuritaire de 2 valeurs à 10 °C (8,7 et 19,06).[4] propose 20,2 (2E-4 atm.m3/mol) à 25°C</t>
  </si>
  <si>
    <t>[2]</t>
  </si>
  <si>
    <t>[5]</t>
  </si>
  <si>
    <t>[4], EXP -  Cohérent avec valeurs de [2]</t>
  </si>
  <si>
    <t>[2], EXP -  moyenne géométrique de 5 valeurs</t>
  </si>
  <si>
    <t>coefficient de partage octanol/eau Kow</t>
  </si>
  <si>
    <t>C1=CC(=C(C=C1Cl)C2=C(C=CC(=C2)Cl)Cl)Cl</t>
  </si>
  <si>
    <t>[2], EXP -  moyenne géométrique de 26 valeurs</t>
  </si>
  <si>
    <t>[2], EXP -moyenne géométrique de 25 valeurs</t>
  </si>
  <si>
    <t>[4], estimated</t>
  </si>
  <si>
    <t>[2], EXP -moyenne géométrique de 13 valeurs</t>
  </si>
  <si>
    <t>[2]- Exp, moyenne géométrique de 3 valeurs</t>
  </si>
  <si>
    <t>[2]- Exp, moyenne géométrique de 5 valeurs</t>
  </si>
  <si>
    <t>[2]- Exp, moyenne géométrique de 21 valeurs</t>
  </si>
  <si>
    <t>[2], EXP</t>
  </si>
  <si>
    <t>[2], valeur la plus sécuritaire de 2 valeurs à 10 °C (8,6 et 16,13). [4] propose 20,2 (2E-4 atm.m3/mol) à 25°C</t>
  </si>
  <si>
    <r>
      <t>[2], EXP. [4] propose 29,18 (2,88E-4 atm.m</t>
    </r>
    <r>
      <rPr>
        <vertAlign val="superscript"/>
        <sz val="10"/>
        <color theme="1"/>
        <rFont val="Arial"/>
        <family val="2"/>
      </rPr>
      <t>3</t>
    </r>
    <r>
      <rPr>
        <sz val="10"/>
        <color theme="1"/>
        <rFont val="Arial"/>
        <family val="2"/>
      </rPr>
      <t>/mol) à 25°C</t>
    </r>
  </si>
  <si>
    <r>
      <t>[2], EXP. [4] propose 2,1 (2,1E-5 atm.m</t>
    </r>
    <r>
      <rPr>
        <vertAlign val="superscript"/>
        <sz val="10"/>
        <color theme="1"/>
        <rFont val="Arial"/>
        <family val="2"/>
      </rPr>
      <t>3</t>
    </r>
    <r>
      <rPr>
        <sz val="10"/>
        <color theme="1"/>
        <rFont val="Arial"/>
        <family val="2"/>
      </rPr>
      <t>/mol) à 25°C</t>
    </r>
  </si>
  <si>
    <r>
      <t>[2], EXP. [4] propose 2,3 (2,3E-5 atm.m</t>
    </r>
    <r>
      <rPr>
        <vertAlign val="superscript"/>
        <sz val="10"/>
        <color theme="1"/>
        <rFont val="Arial"/>
        <family val="2"/>
      </rPr>
      <t>3</t>
    </r>
    <r>
      <rPr>
        <sz val="10"/>
        <color theme="1"/>
        <rFont val="Arial"/>
        <family val="2"/>
      </rPr>
      <t>/mol) à 25°C</t>
    </r>
  </si>
  <si>
    <r>
      <t>[2], EXP. [4] propose 1,01 (1E-5 atm.m</t>
    </r>
    <r>
      <rPr>
        <vertAlign val="superscript"/>
        <sz val="10"/>
        <color theme="1"/>
        <rFont val="Arial"/>
        <family val="2"/>
      </rPr>
      <t>3</t>
    </r>
    <r>
      <rPr>
        <sz val="10"/>
        <color theme="1"/>
        <rFont val="Arial"/>
        <family val="2"/>
      </rPr>
      <t>/mol) à 25°C</t>
    </r>
  </si>
  <si>
    <t>[1]-[4]</t>
  </si>
  <si>
    <t>[4] et [1], EXP -  [3] propose 50</t>
  </si>
  <si>
    <t>[4] et [1], EXP -  [3] propose 427 à 20°C</t>
  </si>
  <si>
    <t>[1]-[3]-[4], EXP. [2] propose également 3,66 (recommanded, Sangster et Hansch)</t>
  </si>
  <si>
    <t>[6]</t>
  </si>
  <si>
    <r>
      <t xml:space="preserve">coefficient de partage carbone organique/eau Koc </t>
    </r>
    <r>
      <rPr>
        <sz val="10"/>
        <rFont val="Arial"/>
        <family val="2"/>
      </rPr>
      <t>(pour les organiques)</t>
    </r>
    <r>
      <rPr>
        <b/>
        <sz val="10"/>
        <rFont val="Arial"/>
        <family val="2"/>
      </rPr>
      <t xml:space="preserve"> / coefficient de partage sol/eau Kd </t>
    </r>
    <r>
      <rPr>
        <sz val="10"/>
        <rFont val="Arial"/>
        <family val="2"/>
      </rPr>
      <t xml:space="preserve">(pour les inorganiques) </t>
    </r>
  </si>
  <si>
    <r>
      <t>[2] EXP - moyenne géométrique de 2 valeurs à 20°C (même auteur, 2 dates différentes). [1] et [4] proposent 1165 (1,15E-2 atm.m</t>
    </r>
    <r>
      <rPr>
        <vertAlign val="superscript"/>
        <sz val="10"/>
        <color theme="1"/>
        <rFont val="Arial"/>
        <family val="2"/>
      </rPr>
      <t>3</t>
    </r>
    <r>
      <rPr>
        <sz val="10"/>
        <color theme="1"/>
        <rFont val="Arial"/>
        <family val="2"/>
      </rPr>
      <t>/mol) à 25°C</t>
    </r>
  </si>
  <si>
    <t>C1=CC(=C(C(=C1)Cl)Cl)Cl</t>
  </si>
  <si>
    <t>C1=CC(=C(C=C1Cl)Cl)Cl</t>
  </si>
  <si>
    <t>VLH obtenue à partir d'une TDI de l'OMS établie pour l'ensemble des 3 isomères (1,2,3,-TCB, 1,2,4-TCB, 1,3,5-TCB) - étude toxicologique réalisée sur les 3 isomères (groupe de rats différents)</t>
  </si>
  <si>
    <t>[4] et [1], EXP - [3] propose 12 à 22°C</t>
  </si>
  <si>
    <t>[4] et [1], EXP - [3] propose 41 à 20°C, [2] propose 2,8 à 10°C</t>
  </si>
  <si>
    <t>[2] EXP. [1] et [4] proposent 127 (1,25E-3 atm.m3/mol) à 25°C</t>
  </si>
  <si>
    <t>[4]-[1],  EXP. [3] propose 4,11 ; [2] propose 4,05 et 4,14 (recommanded, Sangster et Hansch)</t>
  </si>
  <si>
    <t>[2] EXP - moyenne géométrique sur 12 valeurs, [3] propose 3,87</t>
  </si>
  <si>
    <t>[4] et [1], EXP - [3] propose 5,8 à 20°C</t>
  </si>
  <si>
    <t>[4] et [1], EXP - [2] propose 12,5 à 20°C</t>
  </si>
  <si>
    <t>[2] EXP. [1] et [4] proposent 191,5 (1,89 E-3 atm.m3/mol) à 25°C</t>
  </si>
  <si>
    <t>[4]-[1],  EXP. [3] propose 4,20 ; [2] propose 4,15 et 4,19 (recommanded, Sangster et Hansch)</t>
  </si>
  <si>
    <t>[2] EXP - moyenne géométrique sur 3 valeurs, [3] propose 2,85</t>
  </si>
  <si>
    <t>C1COCCO1</t>
  </si>
  <si>
    <t>C4H8O2</t>
  </si>
  <si>
    <t>C6H3(CH3)3</t>
  </si>
  <si>
    <t>C₇H₁₆</t>
  </si>
  <si>
    <t>Hg</t>
  </si>
  <si>
    <t>CH₃(CH₂)₆CH₃</t>
  </si>
  <si>
    <t>ISSeP-labo de référence: le 1,4 dioxane n’a aucune propriété acido-basique dans l’eau</t>
  </si>
  <si>
    <t>[2]-[4]. [3] propose 82,20</t>
  </si>
  <si>
    <t>[4] et [1], EXP - [2]-[3] proposent uniquement "miscible dans l'eau"</t>
  </si>
  <si>
    <t>[4] et [1], EXP - [3] propose 4000 (30 mmHg) à 20°C et [2] propose 2266 Pa à 10°C, 2666 Pa à 12°C et 3853 à 20°C</t>
  </si>
  <si>
    <t>[2], EXP. (Capel &amp; Larson 1995) - [4] et [1] propose 0,486 (4,8E-6 atm.m³/mol) à 25°C, EXP</t>
  </si>
  <si>
    <t>[4]-[1] EXP. [2] propose également -0,42</t>
  </si>
  <si>
    <t>[2], EST.</t>
  </si>
  <si>
    <t>C(C(CBr)Br)Cl</t>
  </si>
  <si>
    <t>[4]. [3] propose 236,35. [1] propose 236,36</t>
  </si>
  <si>
    <t>[1] et [4], EXP. [3] propose 1000 à température ambiante (25°C)</t>
  </si>
  <si>
    <t>[1] et [4], EXP. [3] propose 106,66 (0,8 mmHg) à 21°C</t>
  </si>
  <si>
    <t>[4] EST</t>
  </si>
  <si>
    <t>[1] et [4], EXP</t>
  </si>
  <si>
    <t xml:space="preserve"> [7] propose Log Koc = 2,17 (Sabljic et al., 1984) et 2,11 (Wilson et al., 1981).</t>
  </si>
  <si>
    <t>[1]</t>
  </si>
  <si>
    <t>[1] et [4], EXP.</t>
  </si>
  <si>
    <t>[4], EXP. [1] très soluble dans l'eau</t>
  </si>
  <si>
    <t>[1] et [4], EXP. [7] propose 6,758 à 25°C</t>
  </si>
  <si>
    <t xml:space="preserve">[4], EST. </t>
  </si>
  <si>
    <t>[8] (MCI method). [8] (Kow method) propose 1,582. Karickhoff (1981).</t>
  </si>
  <si>
    <t>[6] issue de BAES</t>
  </si>
  <si>
    <t>[1]-[6]-[7] et Lide D. (2009-2010). [4] propose 139,360</t>
  </si>
  <si>
    <t>CCCl</t>
  </si>
  <si>
    <t>CC(C)C1=CC=CC=C1</t>
  </si>
  <si>
    <t>[1]-[2]-[3].[4] propose 64,515</t>
  </si>
  <si>
    <t>[4], EXP. [1] propose 5680 à 20°C. [2] propose 5742 à 10°C. [3] propose 5740 à 20°C</t>
  </si>
  <si>
    <t>[4], EXP. [1] propose 134655,22 (1010 mmHg) à 20°C. [2] propose 94708 à 10,48°C</t>
  </si>
  <si>
    <t>[2] valeur la plus sécuritaire de 2 valeurs EXP (660; 769), sélection de la plus sécuritaire. [1] et [4] proposent 1124,7 (1,11E-2 atm.m3/mol) à 24°C. [3] propose un log H = -0,52 (calculé) à 10°C</t>
  </si>
  <si>
    <t>[1]-[4],EXP. [2] propose 1,43 (recommended. [3] propose 1,54</t>
  </si>
  <si>
    <t>[2] une valeur</t>
  </si>
  <si>
    <t>CCOP(=S)(OCC)OC1=NC(=NC(=C1)C)C(C)C</t>
  </si>
  <si>
    <t>IUPAC : strong acid</t>
  </si>
  <si>
    <t>[1] et IUPAC. [2] propose &lt;2,5</t>
  </si>
  <si>
    <t>[1]-[2]-[3]-[4]</t>
  </si>
  <si>
    <t>[1]-[3]-[4]</t>
  </si>
  <si>
    <t>[1]-[3]-[4], EXP. [1] propose également 60 à 20°C. [2] propose 40 à 20°C.</t>
  </si>
  <si>
    <t>[1]-[4], EXP. [2] propose (0,0111; 0,0112; 0,019; 0,00971; 0,00236; 0,00469; 9,7E-5; 0,008; 0,0113; 0,012) à 20°C. [3] propose 0,018 (1,8E-4 mbar) à 20°C</t>
  </si>
  <si>
    <t>[2] valeur la plus sécuritaire de 2 valeurs (0,009128;0,008515). [1] propose 1,186E-2 (1,17E-7 atm.m3/mol) à 23°C et [4] propose 1,145E-2 (1,13E-7 atm.m3/mol) à 23°C. (même source pour [1] et [4] ?)</t>
  </si>
  <si>
    <t>[1]-[4], EXP. [2] propose 3,81 (recommended). [3] propose 1,92; 3,14</t>
  </si>
  <si>
    <t>[2] EXP - de 11 valeurs</t>
  </si>
  <si>
    <r>
      <t xml:space="preserve">Valeurs toxicologiques de référence - </t>
    </r>
    <r>
      <rPr>
        <b/>
        <sz val="14"/>
        <color rgb="FFFF0000"/>
        <rFont val="Arial"/>
        <family val="2"/>
      </rPr>
      <t>unités S-Risk</t>
    </r>
  </si>
  <si>
    <t xml:space="preserve">   VTRinh sans seuil</t>
  </si>
  <si>
    <t>VTR inhalation à seuil
"inhalation TCA"</t>
  </si>
  <si>
    <t>VTR orale à seuil
" oral TDI"</t>
  </si>
  <si>
    <t>VTR dermale à seuil
"dermal TDU"</t>
  </si>
  <si>
    <t>VTR inhalation sans seuil
"inhalation UR"</t>
  </si>
  <si>
    <t>VTR orale sans seuil
"oral SF"</t>
  </si>
  <si>
    <t>VTR dermale sans seuil
"dermal sf"</t>
  </si>
  <si>
    <t>mg/m³</t>
  </si>
  <si>
    <t>(mg/m³)-1</t>
  </si>
  <si>
    <t>(mg/kg.j)-1</t>
  </si>
  <si>
    <t>RIVM (2001). Sélectionnée par l'INERIS (2011)</t>
  </si>
  <si>
    <t>RIVM (2001). Sélectionnée par l'INERIS (2011). Soutenu par l'AFSSA (2010)</t>
  </si>
  <si>
    <t>high risk : 0,57
low risk : 0,11</t>
  </si>
  <si>
    <t>OEHHA (2009). Sélectionnée par l'INERIS (2011). VTR "high risk" de 1 à 15 ans et VTR "low risk" &gt;15 ans</t>
  </si>
  <si>
    <t>high risk : 2
low risk : 0,4</t>
  </si>
  <si>
    <t>USEPA IRIS (1997). Sélectionnée par l'INERIS (2011). VTR "high risk" de 1 à 15 ans et VTR "low risk" &gt; 15 ans</t>
  </si>
  <si>
    <r>
      <t xml:space="preserve">Paramètres physico-chimiques
</t>
    </r>
    <r>
      <rPr>
        <u/>
        <sz val="12"/>
        <rFont val="Arial"/>
        <family val="2"/>
      </rPr>
      <t>Sources d'information  -   codes utilisés pour certains PNN</t>
    </r>
    <r>
      <rPr>
        <sz val="12"/>
        <rFont val="Arial"/>
        <family val="2"/>
      </rPr>
      <t xml:space="preserve">
(1) : HSDB   ;   (2) : Mackay D. et al (2006)   ;   (3) : Verschueren K. (1996)   ;   (4) : Syracuse Research Center (SRC) - BD PHYSPROP   ;   (5) : RIVM, report 711701023, 2001 
[6] : RSL (EPA, 2017)   ;   [7] : ATSDR   ;   [8] : Logiciel EPIWEB   ;   [9] : Etude POLLUSOL 2. Données acquises sur 1341 échantillons de légumes récoltés dans 398 potagers en condition de pollution atmosphérique de proximité en Wallonie. 
[10] Sheppard et al., 2010   ;   [11] pubchem.ncbi.nlm.nih.gov 
</t>
    </r>
  </si>
  <si>
    <r>
      <t xml:space="preserve">Valeurs toxicologiques de référence - </t>
    </r>
    <r>
      <rPr>
        <b/>
        <sz val="14"/>
        <color rgb="FFFF0000"/>
        <rFont val="Arial"/>
        <family val="2"/>
      </rPr>
      <t xml:space="preserve">unités Risc Human
</t>
    </r>
    <r>
      <rPr>
        <sz val="12"/>
        <rFont val="Arial"/>
        <family val="2"/>
      </rPr>
      <t>(effacées si réévaluation et calcul avec S-Risk)</t>
    </r>
  </si>
  <si>
    <t>OMS (1998). Guidance Value</t>
  </si>
  <si>
    <t>RIVM (2001). pTCA</t>
  </si>
  <si>
    <t>OMS (2003). TDI</t>
  </si>
  <si>
    <t>Santé Canada (2010). CT</t>
  </si>
  <si>
    <t>OMS (2017). TDI</t>
  </si>
  <si>
    <t>ATSDR (2017). MRL chronique</t>
  </si>
  <si>
    <t>USEPA IRIS (1992). RfD</t>
  </si>
  <si>
    <t>USEPA IRIS (2013). RfC chronique</t>
  </si>
  <si>
    <t>USEPA IRIS (2013). Inhalation Unit Risk</t>
  </si>
  <si>
    <t>USEPA IRIS (2013). Oral Slope Factor</t>
  </si>
  <si>
    <t>USEPA IRIS (1991). RFC</t>
  </si>
  <si>
    <t>USEPA PPRTV (2006). Unit Risk</t>
  </si>
  <si>
    <t>OEHHA (2011). Oral Slope Factor</t>
  </si>
  <si>
    <t>OEHHA (2003). REL</t>
  </si>
  <si>
    <t>USEPA PPRTV (2006). RfC</t>
  </si>
  <si>
    <t>EFSA (2011). TWI</t>
  </si>
  <si>
    <t>RIVM( 2000). TCA</t>
  </si>
  <si>
    <t>OMS (2016). TDI</t>
  </si>
  <si>
    <t>USEPA IRIS (1991). RfC (étude subaïgue)</t>
  </si>
  <si>
    <t>USEPA PPRTV (2007). p-RfD</t>
  </si>
  <si>
    <t>ATSDR (2008). MRL intermediate</t>
  </si>
  <si>
    <t>ATSDR (2008). MRL chronic</t>
  </si>
  <si>
    <t>Coefficient de permabilité cutanée
Kp</t>
  </si>
  <si>
    <t>Coefficient de transfert du polluant dans le sol à travers la peau 
ABS</t>
  </si>
  <si>
    <t>Facteur d'absorption
FA</t>
  </si>
  <si>
    <t>cm/h</t>
  </si>
  <si>
    <t>Use model</t>
  </si>
  <si>
    <t>Wester et al. (1993) cité dans US-EPA (2004)</t>
  </si>
  <si>
    <t>S-RISK. valeur par défaut. B et Tevent hors de l'intervalle du graphique</t>
  </si>
  <si>
    <t>S-Risk. Calcul B et τ_event. User Manual_Figure 41. S-Risk</t>
  </si>
  <si>
    <t>S-Risk (par défaut)</t>
  </si>
  <si>
    <t>Use Model</t>
  </si>
  <si>
    <t>valeur par défaut (S-Risk)</t>
  </si>
  <si>
    <r>
      <t xml:space="preserve">Autres facteurs de transfert - </t>
    </r>
    <r>
      <rPr>
        <b/>
        <sz val="14"/>
        <color rgb="FFFF0000"/>
        <rFont val="Arial"/>
        <family val="2"/>
      </rPr>
      <t xml:space="preserve">unités Risc Human
</t>
    </r>
    <r>
      <rPr>
        <sz val="12"/>
        <rFont val="Arial"/>
        <family val="2"/>
      </rPr>
      <t>(effacées si réévaluation et calcul avec S-Risk)</t>
    </r>
  </si>
  <si>
    <r>
      <t xml:space="preserve">Facteurs de transfert animaux - </t>
    </r>
    <r>
      <rPr>
        <b/>
        <sz val="14"/>
        <color rgb="FFFF0000"/>
        <rFont val="Arial"/>
        <family val="2"/>
      </rPr>
      <t xml:space="preserve">unités S-Risk
</t>
    </r>
  </si>
  <si>
    <t>(mg/kg fw)/(mg/j)</t>
  </si>
  <si>
    <r>
      <rPr>
        <b/>
        <sz val="10"/>
        <rFont val="Arial"/>
        <family val="2"/>
      </rPr>
      <t>Facteur de biotransfert dans la viande de vache</t>
    </r>
    <r>
      <rPr>
        <sz val="10"/>
        <rFont val="Arial"/>
        <family val="2"/>
      </rPr>
      <t xml:space="preserve">
BTFmeat,beef</t>
    </r>
  </si>
  <si>
    <r>
      <rPr>
        <b/>
        <sz val="10"/>
        <rFont val="Arial"/>
        <family val="2"/>
      </rPr>
      <t>Facteur de biotransfert dans le foie de vache</t>
    </r>
    <r>
      <rPr>
        <sz val="10"/>
        <rFont val="Arial"/>
        <family val="2"/>
      </rPr>
      <t xml:space="preserve">
BTFliver</t>
    </r>
  </si>
  <si>
    <r>
      <rPr>
        <b/>
        <sz val="10"/>
        <rFont val="Arial"/>
        <family val="2"/>
      </rPr>
      <t>Facteur de biotransfert dans les reins de vache</t>
    </r>
    <r>
      <rPr>
        <sz val="10"/>
        <rFont val="Arial"/>
        <family val="2"/>
      </rPr>
      <t xml:space="preserve">
BTFkidney</t>
    </r>
  </si>
  <si>
    <r>
      <rPr>
        <b/>
        <sz val="10"/>
        <rFont val="Arial"/>
        <family val="2"/>
      </rPr>
      <t>Facteur de biotransfert dans le lait de vache</t>
    </r>
    <r>
      <rPr>
        <sz val="10"/>
        <rFont val="Arial"/>
        <family val="2"/>
      </rPr>
      <t xml:space="preserve">
BTFmilk</t>
    </r>
  </si>
  <si>
    <r>
      <rPr>
        <b/>
        <sz val="10"/>
        <rFont val="Arial"/>
        <family val="2"/>
      </rPr>
      <t>Facteur de biotransfert dans la viande de mouton</t>
    </r>
    <r>
      <rPr>
        <sz val="10"/>
        <rFont val="Arial"/>
        <family val="2"/>
      </rPr>
      <t xml:space="preserve">
BTFmeat,sheep</t>
    </r>
  </si>
  <si>
    <r>
      <rPr>
        <b/>
        <sz val="10"/>
        <rFont val="Arial"/>
        <family val="2"/>
      </rPr>
      <t>Facteur de biotransfert du sol vers les œufs</t>
    </r>
    <r>
      <rPr>
        <sz val="10"/>
        <rFont val="Arial"/>
        <family val="2"/>
      </rPr>
      <t xml:space="preserve">
BTFsoil,egg</t>
    </r>
  </si>
  <si>
    <r>
      <rPr>
        <b/>
        <sz val="10"/>
        <rFont val="Arial"/>
        <family val="2"/>
      </rPr>
      <t>Facteur de biotransfert de l'alimentation du poulet vers les œufs</t>
    </r>
    <r>
      <rPr>
        <sz val="10"/>
        <rFont val="Arial"/>
        <family val="2"/>
      </rPr>
      <t xml:space="preserve">
BTFfeed,soil </t>
    </r>
  </si>
  <si>
    <t>Valeur par défaut (S-Risk)</t>
  </si>
  <si>
    <t>[10]</t>
  </si>
  <si>
    <t>pas de valeur. BCFmeat,beef par défaut</t>
  </si>
  <si>
    <t>[10] valeur brute : 0,0013 d/L</t>
  </si>
  <si>
    <r>
      <t xml:space="preserve">Facteurs de transfert vers les végétaux -  </t>
    </r>
    <r>
      <rPr>
        <b/>
        <sz val="14"/>
        <color rgb="FFFF0000"/>
        <rFont val="Arial"/>
        <family val="2"/>
      </rPr>
      <t>unités Risc Human</t>
    </r>
    <r>
      <rPr>
        <sz val="14"/>
        <rFont val="Arial"/>
        <family val="2"/>
      </rPr>
      <t xml:space="preserve">
</t>
    </r>
    <r>
      <rPr>
        <sz val="12"/>
        <rFont val="Arial"/>
        <family val="2"/>
      </rPr>
      <t>(effacées si réévaluation et calcul avec S-Risk)</t>
    </r>
  </si>
  <si>
    <r>
      <rPr>
        <b/>
        <sz val="10"/>
        <rFont val="Arial"/>
        <family val="2"/>
      </rPr>
      <t>Facteur de bioconcentration dans les racines et tubercules</t>
    </r>
    <r>
      <rPr>
        <sz val="10"/>
        <rFont val="Arial"/>
        <family val="2"/>
      </rPr>
      <t xml:space="preserve">
"BCF Root and tuberous"
(carotte, scorzonere, panais, autres légumes racines type radis) </t>
    </r>
  </si>
  <si>
    <r>
      <rPr>
        <b/>
        <sz val="10"/>
        <rFont val="Arial"/>
        <family val="2"/>
      </rPr>
      <t>Facteur de bioconcentration dans les pommes de terre</t>
    </r>
    <r>
      <rPr>
        <sz val="10"/>
        <rFont val="Arial"/>
        <family val="2"/>
      </rPr>
      <t xml:space="preserve">
"BCF Potatoes"</t>
    </r>
  </si>
  <si>
    <t xml:space="preserve"> (mg/kg ms plante)/(mg/m3solution sol) ou (mg/kg ms plante)/(mg/kg ms sol)</t>
  </si>
  <si>
    <r>
      <rPr>
        <b/>
        <sz val="10"/>
        <rFont val="Arial"/>
        <family val="2"/>
      </rPr>
      <t>Facteur de bioconcentration dans les choux</t>
    </r>
    <r>
      <rPr>
        <sz val="10"/>
        <rFont val="Arial"/>
        <family val="2"/>
      </rPr>
      <t xml:space="preserve">
"BCF Cabbages"
(chou, choufleur et brocoli, chou de bruxelles)</t>
    </r>
  </si>
  <si>
    <r>
      <rPr>
        <b/>
        <sz val="10"/>
        <rFont val="Arial"/>
        <family val="2"/>
      </rPr>
      <t>Facteur de bioconcentration dans les légumes-fruits</t>
    </r>
    <r>
      <rPr>
        <sz val="10"/>
        <rFont val="Arial"/>
        <family val="2"/>
      </rPr>
      <t xml:space="preserve">
"BCF fruit vegetables"
(tomate, concombre, autres légumes fruits type paprika)</t>
    </r>
  </si>
  <si>
    <r>
      <rPr>
        <b/>
        <sz val="10"/>
        <rFont val="Arial"/>
        <family val="2"/>
      </rPr>
      <t>Facteur de bioconcentration dans les racines et tubercules</t>
    </r>
    <r>
      <rPr>
        <sz val="10"/>
        <rFont val="Arial"/>
        <family val="2"/>
      </rPr>
      <t xml:space="preserve">
"BCF bulbous plants"
(légumes bulbes type oignon, poireaux)</t>
    </r>
  </si>
  <si>
    <r>
      <rPr>
        <b/>
        <sz val="10"/>
        <rFont val="Arial"/>
        <family val="2"/>
      </rPr>
      <t>Facteur de bioconcentration dans les légumes-feuilles</t>
    </r>
    <r>
      <rPr>
        <sz val="10"/>
        <rFont val="Arial"/>
        <family val="2"/>
      </rPr>
      <t xml:space="preserve">
"BCF leafy vegetables"
(laitue, mache, chicon, épinard, chicorée, céleri)</t>
    </r>
  </si>
  <si>
    <r>
      <rPr>
        <b/>
        <sz val="10"/>
        <rFont val="Arial"/>
        <family val="2"/>
      </rPr>
      <t>Facteur de bioconcentration dans les légumineuses</t>
    </r>
    <r>
      <rPr>
        <sz val="10"/>
        <rFont val="Arial"/>
        <family val="2"/>
      </rPr>
      <t xml:space="preserve">
"BCF leguminous vegetables"
(haricot, petit pois"</t>
    </r>
  </si>
  <si>
    <r>
      <rPr>
        <b/>
        <sz val="10"/>
        <rFont val="Arial"/>
        <family val="2"/>
      </rPr>
      <t>Facteur de bioconcentration dans l'herbe</t>
    </r>
    <r>
      <rPr>
        <sz val="10"/>
        <rFont val="Arial"/>
        <family val="2"/>
      </rPr>
      <t xml:space="preserve">
"BCF grasses"</t>
    </r>
  </si>
  <si>
    <r>
      <rPr>
        <b/>
        <sz val="10"/>
        <rFont val="Arial"/>
        <family val="2"/>
      </rPr>
      <t>Facteur de bioconcentration dans le maïs</t>
    </r>
    <r>
      <rPr>
        <sz val="10"/>
        <rFont val="Arial"/>
        <family val="2"/>
      </rPr>
      <t xml:space="preserve">
"BCF grain"</t>
    </r>
  </si>
  <si>
    <t>Cullen et al., 1996. BCF pomme de terre du PCB 52 : 0,29 (mg/kg dw)/ (mg/kg dw sol). Conversion cf. fichier Excel de conversion.</t>
  </si>
  <si>
    <t>Cullen et al., 1996. BCF carotte du PCB 52 : 1,5 (mg/kg dw)/ (mg/kg dw sol). Conversion cf. fichier Excel de conversion.</t>
  </si>
  <si>
    <t>Cullen et al., 1996. BCF tomate du PCB 52 : 0,64 (mg/kg dw)/ (mg/kg dw sol). Conversion cf. fichier Excel de conversion.</t>
  </si>
  <si>
    <t>Cullen et al., 1996. BCF laitue du PCB 52 : 6 (mg/kg dw)/ (mg/kg dw sol). Conversion cf. fichier Excel de conversion.</t>
  </si>
  <si>
    <t>Cullen et al., 1996. BCF pomme de terre du PCB 101 : 0,01 (mg/kg dw)/ (mg/kg dw sol). Conversion cf. fichier Excel de conversion.</t>
  </si>
  <si>
    <t>Cullen et al., 1996. BCF carotte du PCB 101 : 0,35 (mg/kg dw)/ (mg/kg dw sol). Conversion cf. fichier Excel de conversion.</t>
  </si>
  <si>
    <t>Cullen et al., 1996. BCF tomate du PCB 101 : 0,23 (mg/kg dw)/ (mg/kg dw sol). Conversion cf. fichier Excel de conversion.</t>
  </si>
  <si>
    <t>Cullen et al., 1996. BCF laitue du PCB 101 : 1,5 (mg/kg dw)/ (mg/kg dw sol). Conversion cf. fichier Excel de conversion.</t>
  </si>
  <si>
    <t>Cullen et al., 1996. BCF carotte : 0,38 (mg/kg dw)/ (mg/kg dw sol). Conversion cf. fichier Excel de conversion.</t>
  </si>
  <si>
    <t>Cullen et al., 1996. BCF tomate : 0,15 (mg/kg dw)/ (mg/kg dw sol). Conversion cf. fichier Excel de conversion.</t>
  </si>
  <si>
    <t>Cullen et al., 1996. BCF laitue : 1,1 (mg/kg dw)/ (mg/kg dw sol). Conversion cf. fichier Excel de conversion.</t>
  </si>
  <si>
    <t>Cullen et al., 1996. BCF pomme de terre : 0,17 (mg/kg dw)/ (mg/kg dw sol). Conversion cf. fichier Excel de conversion.</t>
  </si>
  <si>
    <t>Cullen et al., 1996. BCF pomme de terre : 0,08 (mg/kg dw)/ (mg/kg dw sol). Conversion cf. fichier Excel de conversion.</t>
  </si>
  <si>
    <t>Cullen et al., 1996. BCF carotte : 0,28 (mg/kg dw)/ (mg/kg dw sol). Conversion cf. fichier Excel de conversion.</t>
  </si>
  <si>
    <t>Cullen et al., 1996. BCF tomate : 0,01 (mg/kg dw)/ (mg/kg dw sol). Conversion cf. fichier Excel de conversion.</t>
  </si>
  <si>
    <t>Cullen et al., 1996. BCF laitue : 0,74 (mg/kg dw)/ (mg/kg dw sol). Conversion cf. fichier Excel de conversion.</t>
  </si>
  <si>
    <t>[9] BCF pomme de terre</t>
  </si>
  <si>
    <t>[9] BCF carotte</t>
  </si>
  <si>
    <t>[9] BCF haricots</t>
  </si>
  <si>
    <t>[9] BCF salade</t>
  </si>
  <si>
    <t>relations Briggs et al. (1982, 1983). BCF roots</t>
  </si>
  <si>
    <t>relations Briggs et al. (1982, 1983). BCF aériens</t>
  </si>
  <si>
    <t>log(BCF) = (0,64) + log(Soil-conc) * (-1)</t>
  </si>
  <si>
    <r>
      <t xml:space="preserve">Facteurs de transfert vers les végétaux -  </t>
    </r>
    <r>
      <rPr>
        <b/>
        <sz val="14"/>
        <color rgb="FFFF0000"/>
        <rFont val="Arial"/>
        <family val="2"/>
      </rPr>
      <t xml:space="preserve">unités S-Risk
</t>
    </r>
    <r>
      <rPr>
        <sz val="12"/>
        <rFont val="Arial"/>
        <family val="2"/>
      </rPr>
      <t>(fichiers de conversion Briggs disponibles à la demande)</t>
    </r>
  </si>
  <si>
    <t>La VLN retenue pour la somme de 7 congénères est la plus stricte des 7 VLN calculées.</t>
  </si>
  <si>
    <t>VTRinh à seuil aberrante mais ok car VLH calculée sur base VTR sans seuil</t>
  </si>
  <si>
    <t>VTR établie sur un mélange de crésols: VLH indicative (mélange contient p-crésol qui est le pire des 3 isomères)</t>
  </si>
  <si>
    <t>VLH obtenues en utilisant la plus petite des VLH calculée pour chaque crésol - ok car mélange contient p-crésol qui est le pire des 3 isomères</t>
  </si>
  <si>
    <t>ChemIDplus</t>
  </si>
  <si>
    <r>
      <rPr>
        <b/>
        <sz val="10"/>
        <rFont val="Arial"/>
        <family val="2"/>
      </rPr>
      <t>Solubilité</t>
    </r>
    <r>
      <rPr>
        <sz val="10"/>
        <rFont val="Arial"/>
        <family val="2"/>
      </rPr>
      <t xml:space="preserve"> dans l'eau</t>
    </r>
  </si>
  <si>
    <t>Pression de vapeur VP</t>
  </si>
  <si>
    <t>Ineris</t>
  </si>
  <si>
    <t>OMS, 2009</t>
  </si>
  <si>
    <t>ANSES, 2016</t>
  </si>
  <si>
    <t>Facteurs d'exposition cutanée</t>
  </si>
  <si>
    <t>valeur par défaut</t>
  </si>
  <si>
    <t>pas de données disponibles</t>
  </si>
  <si>
    <t>Sheppard &amp; al, 2010</t>
  </si>
  <si>
    <t>Mackay et al. (2006) Handbook of Physical-Chemical Properties and Environmental Fate for Organic Chemicals. Second Edition. CRC</t>
  </si>
  <si>
    <t xml:space="preserve">3000-3300 dans Mackay; 3100 (25°,EXP,ChemID, HSBD, physprop), </t>
  </si>
  <si>
    <t>5,4 mmHg (EPI, USEPA)</t>
  </si>
  <si>
    <t>moyenne géométrique de valeurs mesurées à 20°C; 5,35E-4 atmm³/mol (25°C, EXP , USEPA, physprop, chemIDplus, HSBD)=54,71</t>
  </si>
  <si>
    <t>2,67 (Mackay); 2.4 (USEPA,ChemIDplus, HSBD, physprop)</t>
  </si>
  <si>
    <t>32 (USEPA, EPI); 116 et 126 (HSBD)</t>
  </si>
  <si>
    <t xml:space="preserve">2,07 (sed, calc) Mackay; </t>
  </si>
  <si>
    <t>OMS, 2004</t>
  </si>
  <si>
    <t xml:space="preserve">US EPA IRIS, 1990 </t>
  </si>
  <si>
    <t>use model</t>
  </si>
  <si>
    <t>calcul avec propriétés polluant et plante</t>
  </si>
  <si>
    <r>
      <t>C6H</t>
    </r>
    <r>
      <rPr>
        <vertAlign val="subscript"/>
        <sz val="10"/>
        <rFont val="Arial"/>
        <family val="2"/>
      </rPr>
      <t>6</t>
    </r>
    <r>
      <rPr>
        <sz val="10"/>
        <rFont val="Arial"/>
        <family val="2"/>
      </rPr>
      <t>Cl</t>
    </r>
    <r>
      <rPr>
        <vertAlign val="subscript"/>
        <sz val="10"/>
        <rFont val="Arial"/>
        <family val="2"/>
      </rPr>
      <t>8</t>
    </r>
  </si>
  <si>
    <t xml:space="preserve">0,056 mg/L (25°,EXP, ChemIDplus, HSBD, physprop, USEPA = cohérente avec la plupart des données dans Mackay) valeur correspondant à un mélmange cis-trans (Ineris) ou alors 0,009 mg/L (25°c), </t>
  </si>
  <si>
    <t>9,75E-6 mmHg (25°,EXP, ChemIDplus, physprop, USEPA)=0,0013Pa; 0,0013Pa (Ineris)</t>
  </si>
  <si>
    <t>4.86E-05 atm-m3/mole= (, 25° EXP, chemIDplus, HSBD,physprop)=4,92Pam³/mol; 4,92Pam³/mol (25°C,Ineris); dans mackay, de nombreuses valeurs expérimentales en 2 groupes qquelque soit la température entre 20-25° 1) autour de 5 et 2) autour de 9. valeur expérimentale à 20°=9,02 Pa</t>
  </si>
  <si>
    <t xml:space="preserve">6,16 (EXP, ChemIDplus, HSBD, physprop); 6,2 (USEPA); 2,78 et 6,16 et 5,54 et 6 (Ineris), </t>
  </si>
  <si>
    <t>5,45 (MACKAY), une seule valeur expérimentale</t>
  </si>
  <si>
    <t xml:space="preserve">ANSES, 2016 </t>
  </si>
  <si>
    <t>Wester et al, 1996</t>
  </si>
  <si>
    <t>US EPA, 2004</t>
  </si>
  <si>
    <t>Physprop</t>
  </si>
  <si>
    <t>(25°, EST, PHYSPROP)</t>
  </si>
  <si>
    <t>0.0000000416 mm Hg (25°, EST, physprop)</t>
  </si>
  <si>
    <t>0,00773 atmm³/mol (physprop)</t>
  </si>
  <si>
    <t>EST, Physprop</t>
  </si>
  <si>
    <t>1,4 L/Kg (sols minéraux (&lt;20% MO) et 150 L/kg (sols organiques &gt;20%) in Sheppard, 2009</t>
  </si>
  <si>
    <t xml:space="preserve">87500 mg/L (25°, EST) chemIDplus ; insoluble (HSBD) </t>
  </si>
  <si>
    <t>4,24E-9 mmHg (25°, EST) ; 1 Pa (1517°, HSBD)</t>
  </si>
  <si>
    <t>0,23 (EST, ineris)</t>
  </si>
  <si>
    <t xml:space="preserve">the equation: Log(Kd) = 0.898 + 0.339 · (pH) + 0.0267 · (organic carbon) established on 342 soils (sheppard et al. 2009) </t>
  </si>
  <si>
    <t xml:space="preserve">45 (usepa) ; 13,22 (ineris).  </t>
  </si>
  <si>
    <t>ATSDR, 2004</t>
  </si>
  <si>
    <t>RIVM, 2000</t>
  </si>
  <si>
    <t>Yalkowsky and Dannenfelser (1992) in SRC physprop database (march 2017)</t>
  </si>
  <si>
    <t>Dauber and Danner (1985) in SRC physprop database  (march 2017)</t>
  </si>
  <si>
    <t>Feigenbrugel et al. (2004) in Mackay et al. (2006), moyenne de deux valeurs</t>
  </si>
  <si>
    <t>Hansch et al. (1995) in SRC physprop database (march 2017)</t>
  </si>
  <si>
    <t>Howard (1980) in Mackay et al. (2006)</t>
  </si>
  <si>
    <t>Pearce and Simkins (1968) in SRC physprop database (march 2017)</t>
  </si>
  <si>
    <t>RIVM (2000)</t>
  </si>
  <si>
    <t>US EPA IRIS, 1988</t>
  </si>
  <si>
    <t>YALKOWSKY,SH &amp; HE,Y (2003), in Physprop database (june 2017)</t>
  </si>
  <si>
    <t>DAUBERT,TE &amp; DANNER,RP (1989) in Physprop database (June 2017)</t>
  </si>
  <si>
    <t>Hansch et al. (1995) in SRC physprop database (june 2017)</t>
  </si>
  <si>
    <t>Boyd (1982) in Mackay et al. (2006)</t>
  </si>
  <si>
    <t>Pearce and Simkins (1968) in SRC physprop database (june  2017)</t>
  </si>
  <si>
    <t>moyenne de Boyd (1982) et Delle Site in Mackay et al. (2006)</t>
  </si>
  <si>
    <t xml:space="preserve">US EPA PPRTV, 2010 </t>
  </si>
  <si>
    <t>9066 mg/L (25°, EXP, chemIDplus, physprop)</t>
  </si>
  <si>
    <t>0,17 mmHg (ChemIDplus, physprop, USEPA); 0,11-0,299 mmHg(25°, HSBD)</t>
  </si>
  <si>
    <t>6,19E-7 atmm³/mol( Physprop, ChemIDplus, USEPA,  EST, 25°)</t>
  </si>
  <si>
    <t>1,95 (ChemIDplus, physprop, USEPA EXP)</t>
  </si>
  <si>
    <t>22-251 (HSBD);310 (usepa): 306,5 (ineris) valeurs calculées</t>
  </si>
  <si>
    <t>physprop (25°C EXP); 10,1-10,3 (HSBD)</t>
  </si>
  <si>
    <t>ATSDR, 2008</t>
  </si>
  <si>
    <t>OEHHA, 2015</t>
  </si>
  <si>
    <t>C14H9Cl5</t>
  </si>
  <si>
    <t>0,0055 mg/L (25°; EXP, ChemIDplus, HSBD, physprop</t>
  </si>
  <si>
    <t>1,6E-7 mmHg (20°, EXP,chemidplus, HSBD, physprop)</t>
  </si>
  <si>
    <t>8,32E-6 atmm³/mol (25° EXP, chemIDplus, HSBD, physprop). Valeur retenue : mackay (2006) une valeur expériemntale à 20°</t>
  </si>
  <si>
    <t>Lijzen et al. 2001</t>
  </si>
  <si>
    <t>6,91(ChemIdplus, HSBD, physprop</t>
  </si>
  <si>
    <t xml:space="preserve">moygeom de 15 valeurs (mackay) </t>
  </si>
  <si>
    <t>1.13E5 à 3.5E5 (HSBD, valeusr mesurées), 1E5 (INERIS), 1.7E5 (USEPA)</t>
  </si>
  <si>
    <t>US EPA IRIS, 1987</t>
  </si>
  <si>
    <t>OEHHA, 1988</t>
  </si>
  <si>
    <t xml:space="preserve">BIGGAR,JW &amp; RIGGS,RI (1974), physprop, idem chemIDplus, </t>
  </si>
  <si>
    <t>GRAYSON,BT &amp; FOSBRAEY,LA (1982) in physprop, idem physprop</t>
  </si>
  <si>
    <t>La plus sécuritaire (plus élevée) de deux valeurs expérimentales à 20°. très différente de physprop (=7,9E-4 Pam³/mol), HSBD&amp;USEPA&amp;chemidplus (=1,01 Pam³/mol (EXP à 25°C)</t>
  </si>
  <si>
    <t>physprop</t>
  </si>
  <si>
    <t>moyenne de 4 valeurs mesurées expérimentales sur des sols (mackay 2006), cohérent avec INERIS, 2-23 dans HSBD</t>
  </si>
  <si>
    <t xml:space="preserve">RIVM, 2000 </t>
  </si>
  <si>
    <t xml:space="preserve">ANSES (2016) </t>
  </si>
  <si>
    <t>physprop, chemidplus,HSBD</t>
  </si>
  <si>
    <t>physporp, chemidplus,HSBD</t>
  </si>
  <si>
    <t>3E-5 atmm³/mol (HSBD, chemIDplus)=3,04 Pam³/mol; 3,375 Pam³/om (Mackay)</t>
  </si>
  <si>
    <t>0,45 (HSBD, chemiDPLUS)</t>
  </si>
  <si>
    <t>2,09 (mackay, calculée)</t>
  </si>
  <si>
    <t>40(hsbd, Est)</t>
  </si>
  <si>
    <t xml:space="preserve">US EPA PPRTV, 2006 </t>
  </si>
  <si>
    <t>OMS,2003</t>
  </si>
  <si>
    <t>OEHHA, 2011</t>
  </si>
  <si>
    <t>logKoW&lt;1 - hors domaine des équations de Trapp --&gt; utilisation des équation de Briggs (BCF calculés - encodés manuellement)</t>
  </si>
  <si>
    <t>log(BCF) = (-1,36) + log(Soil-conc) * (-1)</t>
  </si>
  <si>
    <t>Données de Pollusol 2 (SPAQuE) à encoder dans "add or adjust available chemical for planttype</t>
  </si>
  <si>
    <t>log(BCF) = (-1,04) + log(Soil-conc) * (-1)</t>
  </si>
  <si>
    <t>BCF = 0,05311</t>
  </si>
  <si>
    <t>log(BCF) = (-0,83) + log(Soil-conc) * (-1)</t>
  </si>
  <si>
    <t>Lide, D.R. CRC Handbook of Chemistry and Physics 86TH Edition 2005-2006. CRC Press, Taylor &amp; Francis, Boca Raton, FL 2005, p. 4-72] dans HSBD</t>
  </si>
  <si>
    <t>MEYLAN,WM ET AL. (1996) in SRC physprop database (june 2017), valeur estimée</t>
  </si>
  <si>
    <t>NEELY,WB &amp; BLAU,GE (1985), in SRC physprop database (june 2017), valeur estimée</t>
  </si>
  <si>
    <t xml:space="preserve">Neely &amp; Blau (1985), valeur estimée in SRC physprop. Rien dans mackay,  dans HSBD, dans Lide et al. 2003; dans USEPA, </t>
  </si>
  <si>
    <t>MEYLAN,WM &amp; HOWARD,PH (1995), valeur estimée in SRC Physprop (June 2017)</t>
  </si>
  <si>
    <t>USEPA LIST, other higher values uin sheppard, 2009</t>
  </si>
  <si>
    <t>LOG(Kd)=-0,33+0,457*pH (Sheppard, 2009)</t>
  </si>
  <si>
    <t>OMS, 2008</t>
  </si>
  <si>
    <t>ATSDR, 2012</t>
  </si>
  <si>
    <t>log(BCF) = (0,5028) + log(Soil-conc) * (-0,912)</t>
  </si>
  <si>
    <t>0,01097</t>
  </si>
  <si>
    <t>0,07230</t>
  </si>
  <si>
    <t>0,02370</t>
  </si>
  <si>
    <t>insoluble (HSBD)</t>
  </si>
  <si>
    <t>1 Pa at 227 deg C (HSBD); 0.000000000142 mm Hg =1,89E-8 Pa(25°C, EXT, physprop, usepa). 0,1 Pa (20°C, ineris)</t>
  </si>
  <si>
    <t xml:space="preserve">0.00974 atm-m3/mol (25°, EST, physprop). </t>
  </si>
  <si>
    <t>0,24 (25°C, EST, physprop, Ineris)</t>
  </si>
  <si>
    <t>5 (USEPA), 13,22 (USEPA)  ;  moyenne géométrique de 20 valeurs dans Daniels &amp; Das, 2007</t>
  </si>
  <si>
    <t>Log (Kd) = 1.79 + 0.133 · (pH) – 0.00163 · (clay) · (pH) in sheppard (2009) based on 90 soil samples</t>
  </si>
  <si>
    <t>ATSDR, 2003</t>
  </si>
  <si>
    <t>0,1257</t>
  </si>
  <si>
    <t>log(BCF) = (-0,74) + log(Soil-conc) * (-1)</t>
  </si>
  <si>
    <t xml:space="preserve"> 0,4604</t>
  </si>
  <si>
    <t>0,2252</t>
  </si>
  <si>
    <t>Cl-</t>
  </si>
  <si>
    <t>SO4--</t>
  </si>
  <si>
    <t>moyenne géométrique de 20 valeurs dans Daniels &amp; DAS 2007</t>
  </si>
  <si>
    <t>C6HCl4OH</t>
  </si>
  <si>
    <t>Cessna and Grover (1978) in SRC physprop database (march 2017)</t>
  </si>
  <si>
    <t>28,7 mg/L (25,EST, chemIDplus, physprop))</t>
  </si>
  <si>
    <t>3,39E-4 (mmHg, 25° EST, chemIDplus, physprop)</t>
  </si>
  <si>
    <t>1,69E-7  atmm³/mole (25°,EST, ChemIDplus, physprop)=0,017 Pa; 0,14 Pa  valeur calculée dans Mackay. Valeur plus sécuriatire choisie</t>
  </si>
  <si>
    <t>4,21 (chemIDplus, HSBD physprop, INERIS)</t>
  </si>
  <si>
    <t>38-351 (HSBD); 2969 (INERIS), rien dans mackay</t>
  </si>
  <si>
    <t>hors domaine application: utilisation user guide S-Risk© p.59</t>
  </si>
  <si>
    <t>Physprop (SCHULTZ,TW (1987A)), idem ChemIDplus</t>
  </si>
  <si>
    <t xml:space="preserve">Physprop (EST, 25°, MEYLAN,WM ET AL. (1996)), 100 mg/L (EXP, 25°) dans Mackay </t>
  </si>
  <si>
    <t xml:space="preserve">Physprop (NEELY,WB &amp; BLAU,GE (1985)) </t>
  </si>
  <si>
    <t xml:space="preserve">3,5E-7 atmm³/mol (EST) in ChemIDplus; 0.000000169 atm-m3/mol (25° EST) in physprop </t>
  </si>
  <si>
    <t>(EXP) HANSCH,C ET AL. (1995) in physprop</t>
  </si>
  <si>
    <t>3100 (ChemIDplus, EST) calcul avec epiweb 2969 (from MCI) ou 2413 (from Kow); ineris : 2969</t>
  </si>
  <si>
    <t>C6H4Cl3OH</t>
  </si>
  <si>
    <t>HSBD, physprop</t>
  </si>
  <si>
    <t>90,09 mg/L (25° EST, chemIDplus, physprop); 100 (Ineris)</t>
  </si>
  <si>
    <t>0,022 mmHg (25 EXP) chemIDpluys, physprop; 2.93 Pa (Ineris)</t>
  </si>
  <si>
    <t>2,28E-7 atmm³/mol (25° EST, chemIDplus, physprop,) 0,04 Pam³/mol (ineris, calculé)</t>
  </si>
  <si>
    <t>450 ( 25° EXP ChemIDplus, physprop); 100 mg/L (20°, ineris)</t>
  </si>
  <si>
    <t>0,00246 mmHg (25° EST, ChemIDplus, physprop), 0,65 Pa (Ineris)</t>
  </si>
  <si>
    <t>2,28E-7 atmm³/mol (25°, EST, ChemIDplus, physprop); 0,04 Pam³/mol (ineris)</t>
  </si>
  <si>
    <t>3,84 (chemIDplus, physprop, usepa EXP); 4,21 Ineris</t>
  </si>
  <si>
    <t>3,77 (chemIDplus, HSBD, physprop, usepa EXP); 3,88 (ineris)</t>
  </si>
  <si>
    <t>1777 (Ineris, calcul) = EPIsuite (MCI) ou 2293 (episuite , with Kow)</t>
  </si>
  <si>
    <t>2700 (HSBD), 1813 (ineris)</t>
  </si>
  <si>
    <t>7,84 (physprop, ChemIDplus, HSBD)</t>
  </si>
  <si>
    <t>64,49 (EST,25°) in physprop, chemIDplus; 100 mg/L (ineris)</t>
  </si>
  <si>
    <t>0,00246 mmHg (25°,EST) in physprop, chemIDplus; 9,2 Pa (ineris, calculée)</t>
  </si>
  <si>
    <t xml:space="preserve">0.000000228 atm-m3/mol (25 deg C,  EST) in physprop, chemIDplus ; 0,04 Pam³/mol (ineris, calculée), </t>
  </si>
  <si>
    <t>4,01 (EXP) in physprop, chemIDplus, HSBD, ineris</t>
  </si>
  <si>
    <t>2900 (HSBD); 1777 (ineris), 1777 (MCI) ou 2847 (par Kow)</t>
  </si>
  <si>
    <r>
      <t>C</t>
    </r>
    <r>
      <rPr>
        <vertAlign val="subscript"/>
        <sz val="10"/>
        <rFont val="Arial"/>
        <family val="2"/>
      </rPr>
      <t>8</t>
    </r>
    <r>
      <rPr>
        <sz val="10"/>
        <rFont val="Arial"/>
        <family val="2"/>
      </rPr>
      <t>H</t>
    </r>
    <r>
      <rPr>
        <vertAlign val="subscript"/>
        <sz val="10"/>
        <rFont val="Arial"/>
        <family val="2"/>
      </rPr>
      <t>18</t>
    </r>
    <r>
      <rPr>
        <sz val="10"/>
        <rFont val="Arial"/>
        <family val="2"/>
      </rPr>
      <t>O</t>
    </r>
  </si>
  <si>
    <t>au contact de l'eau, s'hydrolyse rapidement en acide maléique (S=441000 mg/L à à 25°C, EXP [TOXNET]), ce qui le rend potentiellement plus problématique vis-à-vis du lessivage et de la contamination des nappes</t>
  </si>
  <si>
    <t>Aucune donnée disponible pour ce composé. Par analogie à d’autres composés similaires proposés par l’EPA (https://ofmpub.epa.gov/oppthpv/quicksearch.display?pChem=100767), il doit être insoluble ou avoir une solubilité faible (max 0.41 mg/L) et une affinité particulièrement importante pour la phase organique du sol (logKoc=7, estimée à partir d’epiweb), ce qui permet d’établir que le polluant est probablement relativement immobile. Il pourrait toutefois être volatil (48,4 Pa, valeur estimée à partir d’EPIweb) depuis sa phase pure ou légèrement à modérément volatil depuis une solution aqueuse (H= 12.1 Pam³/mol, valeur estimée). Les composés similaires ont plutôt un Kow élevé à très élevé impliquant qu’ils sont probablement peu biodisponibles.</t>
  </si>
  <si>
    <t>composé présent naturellement dans les coposés volatils de beaucoup de fruits, responsables de leur arôme. utilisé comme solvant. 
Ce composé est très soluble (29700 mg/L ; (EXP) YALKOWSKY,SH &amp; DANNENFELSER,RM (1992) in SRC Physprop, idem toxnet, idem CDC), plutôt relativement hydrophile (Kow=19.5 ; EXP, VALVANI,SC ET AL. (1981) in physprop, idem toxnet; 1,3-1,4 in CDC) et probablement assez mobile dans les sols (Koc estimé entre 15 et 200 L/kg ; ) mais est assez biodégradable. Il est également très volatil (Vp=416 Pa ; RIDDICK,JA ET AL. (1986), PHYSPROP,  ; 3,12 mmHg in Toxnet ([Daubert TE; Danner RP; Physical and Thermodynamic Properties of Pure Chemicals: Data Compilation, NY: Hemisphere Pub Corp (1989)], idem CDC) mais est rapidement dégradé dans l’air (temps de ½ vie de 47 heures).</t>
  </si>
  <si>
    <t>composé attendu naturellement dans les déchets animaux et dans les huiles essentielles végétales ; utilisé comme solvant dans la production d'additifs pétroliers, comme matière première pour les préparations pharmaceutiques, dans le traitement des urées et formaldéhydes et la fabrication de produits organiques. 
Ce composé est soluble (2200 mg/L ; EXP, YALKOWSKY,SH &amp; DANNENFELSER,RM (1992), PHYSPROP, idem ineris, consistant avec Mackay), plutôt relativement hydrophile (Kow=32 ; EXP, SANGSTER (1994) in physprop; idem ineris;  1.4 in cdc; 1.4 in Mackay; 1.56 dans EPA 2004) et particulièrement mobile, c’est-à-dire très faiblement retenu par le sol (Koc=5.62;  Moyenne de 4 valeur calculées (LOGKOC=0,93, 0,70,0,65,0,70)=0,75 dans mackay), mais il peut y être relativement bien biodégradé (en conditions aérobiques ou anaérobiques). Il est aussi très volatil (Vp=293 Pa ; RIDDICK,JA ET AL. (1986) in SRC physprop, idem Mackay 2006, =293 Pa (25°C) INERIS) et susceptible de s’évaporer facilement depuis la phase aqueuse (H=1.32 ; 0,000013 atmm³/mol (EXP), BUTLER,JAV ET AL. (1935) in physprop (25°C) idem toxnet,  idem makay; 1.27 (25° EXP) dans Ineris), mais se dégrade relativement rapidement dans l’air (temps de demi vie de 2 jours).</t>
  </si>
  <si>
    <t>composé isomère du mélange de terphényls.
composé plutôt hydrophobe (log Kow 5.52 ; (EST,ChemIDplus, physprop) EYLAN,WM &amp; HOWARD,PH (1995)), insoluble à légèrement soluble (S=1.24 mg/L ; 25°C, EXP, CHemIDplus, physprop, mackay) et présentant une affinité relativement forte pour la matière organique particulaire du sol (Koc=3900 L/Kg ; EST, HSBD)), ce qui limite son lessivage vers les nappes. Sa tension de vapeur très basse (Vp=0.03 ; EXT daubert &amp; danner 1989) HSBD,physprop) permet d’affirmer qu’il est plutôt non volatil à partir de sa phase pure, et légèrement à modérément volatil lorsqu’il est en solution (H=6.2 Pam³/mol ; 25°,EST,chemiplus, hsbd). Les données disponibles indiquent que le 1,2 diphénylbenzene est plutôt résistant à la biodégradation mais que le 1,3 diphenylbenzene peut être biodégradé dans les sols.</t>
  </si>
  <si>
    <t>composé isomère du mélange de terphényls.
composé plutôt hydrophobe (log Kow 5.52 ; (EST,ChemIDplus, physprop) EYLAN,WM &amp; HOWARD,PH (1995)), insoluble à légèrement soluble (S=1.51 mg/L ; 25°C, EXP, CHemIDplus, physprop, mackay) et présentant une affinité relativement forte pour la matière organique particulaire du sol (Koc=3500 L/Kg ; EST, HSBD)), ce qui limite son lessivage vers les nappes. Sa tension de vapeur très basse (Vp=0.002 ; ext, HSBD) permet d’affirmer qu’il est plutôt non volatil à partir de sa phase pure, et légèrement à modérément volatil lorsqu’il est en solution (H=0.36 Pam³/mol ; 25°,EST,chemidplus, hsbd). Les données disponibles indiquent que le 1,2 diphénylbenzene est plutôt résistant à la biodégradation mais que le 1,3 diphenylbenzene peut être biodégradé dans les sols.</t>
  </si>
  <si>
    <r>
      <t xml:space="preserve">composé isomère du mélange de terphényls.
</t>
    </r>
    <r>
      <rPr>
        <b/>
        <sz val="11"/>
        <color theme="1"/>
        <rFont val="Calibri"/>
        <family val="2"/>
        <scheme val="minor"/>
      </rPr>
      <t xml:space="preserve">VLH </t>
    </r>
    <r>
      <rPr>
        <b/>
        <u/>
        <sz val="11"/>
        <color theme="1"/>
        <rFont val="Calibri"/>
        <family val="2"/>
        <scheme val="minor"/>
      </rPr>
      <t>indicatives</t>
    </r>
    <r>
      <rPr>
        <sz val="11"/>
        <color theme="1"/>
        <rFont val="Calibri"/>
        <family val="2"/>
        <scheme val="minor"/>
      </rPr>
      <t xml:space="preserve"> (dérivation voie à voie de la valeur de référence par inhalation pour une exposition professionnelle en VTR orale)
</t>
    </r>
    <r>
      <rPr>
        <b/>
        <sz val="11"/>
        <color theme="1"/>
        <rFont val="Calibri"/>
        <family val="2"/>
        <scheme val="minor"/>
      </rPr>
      <t xml:space="preserve">Vlnappe et VLN sont également </t>
    </r>
    <r>
      <rPr>
        <b/>
        <u/>
        <sz val="11"/>
        <color theme="1"/>
        <rFont val="Calibri"/>
        <family val="2"/>
        <scheme val="minor"/>
      </rPr>
      <t>indicatives</t>
    </r>
    <r>
      <rPr>
        <sz val="11"/>
        <color theme="1"/>
        <rFont val="Calibri"/>
        <family val="2"/>
        <scheme val="minor"/>
      </rPr>
      <t xml:space="preserve"> pour la même raison</t>
    </r>
  </si>
  <si>
    <t>VLH indicative : calcul basé sur une valeur toxicologique pour une exposition professionnelle par inhalation</t>
  </si>
  <si>
    <t>US-EPA (RSL, 2017)</t>
  </si>
  <si>
    <t>C10H10O4</t>
  </si>
  <si>
    <t>COC(=O)C1=CC=CC=C1C(=O)OC</t>
  </si>
  <si>
    <t>[1]-[2]-[4]</t>
  </si>
  <si>
    <t>[4]-[1] EXP. [2] propose 5000 à 20°C</t>
  </si>
  <si>
    <t>[4]-[1] EXP. [2] propose 0,559 à 20°C</t>
  </si>
  <si>
    <t>[2] CALC. [4] propose 0,020 à 25°C</t>
  </si>
  <si>
    <t>[4]-[1] EXP. [2] propose 1,53 à 20°C</t>
  </si>
  <si>
    <t>[2] EST et CALC - moyenne géométrique sur 4 valeurs</t>
  </si>
  <si>
    <t>DEQ Michigan (à partir d'une VLEP)</t>
  </si>
  <si>
    <t>PPRTV</t>
  </si>
  <si>
    <t>C15H16O2</t>
  </si>
  <si>
    <t>CC(C)(C1=CC=C(C=C1)O)C2=CC=C(C=C2)O</t>
  </si>
  <si>
    <t>ISSeP-Labo</t>
  </si>
  <si>
    <t>[3] Peer reviewed. [4] 10,08 à 25°C, estimé</t>
  </si>
  <si>
    <t>[4] EXP. [1] propose 120 et 300</t>
  </si>
  <si>
    <t>[4] ESTIME</t>
  </si>
  <si>
    <t>[1][4] proposent 0,000001 ESTIME</t>
  </si>
  <si>
    <t>[4]-[1] EXP</t>
  </si>
  <si>
    <t>dérivation voie-à-voie par SPAQυE à partir de la RfD (TDI*70/20)</t>
  </si>
  <si>
    <t>EFSA t-TDI</t>
  </si>
  <si>
    <t>C2Cl6</t>
  </si>
  <si>
    <t>C(C(Cl)(Cl)Cl)(Cl)(Cl)Cl</t>
  </si>
  <si>
    <t>[4]. [2] propose 50 à 22,3°C [3] propose 50 à 22°C [1] propose 50 à 20°C</t>
  </si>
  <si>
    <t>[4]. [2] propose 42,7 à 25°C [3] propose 53,33 à 20°C [1] propose 53,33 à 20°C mais provient de Verschueren</t>
  </si>
  <si>
    <t>[2] EXP. [4] et [1] propose 394,15 à 25°C</t>
  </si>
  <si>
    <t>[4] EXP. [2] 4,14 recommandé [3] 3,4 et 3,93</t>
  </si>
  <si>
    <t>[EPI US-EPA Suite 4.1]. [2] 4,3 seule valeur pour les sédiments</t>
  </si>
  <si>
    <t>US-EPA IRIS - RfC</t>
  </si>
  <si>
    <t>US-EPA IRIS - RfD</t>
  </si>
  <si>
    <t>1,1.10-2</t>
  </si>
  <si>
    <t>OEHHA - Inhal Unit Risk (dérivation)</t>
  </si>
  <si>
    <t>US-EPA IRIS Oral Slope Factor</t>
  </si>
  <si>
    <t>CCCCC(CC)CO</t>
  </si>
  <si>
    <t>[1]-[4], EXP</t>
  </si>
  <si>
    <t xml:space="preserve">[1] et [4], EXP. [7] propose </t>
  </si>
  <si>
    <t>calculé selon la méthode MCI utilisant les QSAR - EPI (base de données USA)</t>
  </si>
  <si>
    <t>dérivation voie-à-voie par SPAQυE à partir de l'ADI</t>
  </si>
  <si>
    <t>EFSA (2009). ADI</t>
  </si>
  <si>
    <t>CC(C)CO</t>
  </si>
  <si>
    <t>[2]-[1]. [4] propose 74,124</t>
  </si>
  <si>
    <t>[2], EXP - moyenne géométrique de 5 valeurs à 25 °C. [1] et [4] proposent 0,991 à 25°C</t>
  </si>
  <si>
    <t>[1]-[4]-[2] (recommended)</t>
  </si>
  <si>
    <t>EFSA (2009). ARfD</t>
  </si>
  <si>
    <r>
      <t>NIOSH (2005). REL TWA (workers) de 150 mg/m</t>
    </r>
    <r>
      <rPr>
        <vertAlign val="superscript"/>
        <sz val="10"/>
        <color theme="1"/>
        <rFont val="Arial"/>
        <family val="2"/>
      </rPr>
      <t>3</t>
    </r>
    <r>
      <rPr>
        <sz val="10"/>
        <color theme="1"/>
        <rFont val="Arial"/>
        <family val="2"/>
      </rPr>
      <t xml:space="preserve"> convertie à une exposition population générale</t>
    </r>
  </si>
  <si>
    <t>C4H2O3</t>
  </si>
  <si>
    <t>C1=CC(=O)OC1=O</t>
  </si>
  <si>
    <t>[1]-[4], EST</t>
  </si>
  <si>
    <t>OEHHA (2001). REL</t>
  </si>
  <si>
    <t>USEPA IRIS (1988). RfD</t>
  </si>
  <si>
    <t>RAIS</t>
  </si>
  <si>
    <t>C6H14O</t>
  </si>
  <si>
    <t>CC(C)CC(C)O</t>
  </si>
  <si>
    <t>[4]. [1] propose 373 à 20°C, EXP</t>
  </si>
  <si>
    <t>USEPA PPRTV (2003). P-RfC</t>
  </si>
  <si>
    <t>dérivation voie-à-voie par SPAQυE à partir de la p-RfC</t>
  </si>
  <si>
    <t>C18H14</t>
  </si>
  <si>
    <t>C1=CC=C(C=C1)C2=CC=C(C=C2)C3=CC=CC=C3</t>
  </si>
  <si>
    <t>NIOSH (2016). REL, ceiling (workers). Valeur professionnelle convertie pour une exposition pour la population générale</t>
  </si>
  <si>
    <t>dérivation voie à voie de la REL Ceiling convertie</t>
  </si>
  <si>
    <t>C14H22O</t>
  </si>
  <si>
    <t>CC(C)(C)C1=C(C(=CC=C1)C(C)(C)C)O</t>
  </si>
  <si>
    <t>[4]. EXP</t>
  </si>
  <si>
    <t>IPCS INCHEM (1994). Estimated dose low concern</t>
  </si>
  <si>
    <r>
      <t>substance très peu volatile donc pas jugé pertinent de réaliser une dérivation voie à voie à partir de la VTR à seuil; VTR inhal fixé à 10+6 mg/m</t>
    </r>
    <r>
      <rPr>
        <vertAlign val="superscript"/>
        <sz val="10"/>
        <color theme="1"/>
        <rFont val="Arial"/>
        <family val="2"/>
      </rPr>
      <t>3</t>
    </r>
    <r>
      <rPr>
        <sz val="10"/>
        <color theme="1"/>
        <rFont val="Arial"/>
        <family val="2"/>
      </rPr>
      <t xml:space="preserve"> par défaut</t>
    </r>
  </si>
  <si>
    <t>VLH indicatives : US-EPA "les études disponibles ne sont pas suffisantes pour dériver des VTR pour ce composé. Cependant, une valeur screening est présentée en annexe" --&gt; pour la voie inhalatoire, valeur toxicologique provenant de l'Etat du Michigan et dérivée à partir d'une VLEP</t>
  </si>
  <si>
    <t>VLH indicatives (cfr onglet "VL - détail VLH (S-Risk)")</t>
  </si>
  <si>
    <t>Code de l'Eau + facteur 10 (recommandation DEE-DESO)</t>
  </si>
  <si>
    <r>
      <t xml:space="preserve">diphosphorus pentasulphide - </t>
    </r>
    <r>
      <rPr>
        <b/>
        <sz val="11"/>
        <color rgb="FFFF0000"/>
        <rFont val="Calibri"/>
        <family val="2"/>
        <scheme val="minor"/>
      </rPr>
      <t>non repris dans BD car non pertinent</t>
    </r>
  </si>
  <si>
    <t>USEPA IRIS (2010). RfD chronique</t>
  </si>
  <si>
    <t>C1COCOC1</t>
  </si>
  <si>
    <t>[4], EST. [1] : "soluble dans l'eau"</t>
  </si>
  <si>
    <t>[4], EST</t>
  </si>
  <si>
    <t>[4]-[1], EST</t>
  </si>
  <si>
    <t>[4], EST (Meylan &amp; Howard, 1995). [1] propose -0,419 (Estimated, USEPA, 1987)</t>
  </si>
  <si>
    <t>[8] (MCI method). [8] (Kow method) propose  6,974. Karickhoff (1981).
Koc = 0,411 x Kow donne 0,16</t>
  </si>
  <si>
    <r>
      <t xml:space="preserve">valeur par défaut (S-Risk) - </t>
    </r>
    <r>
      <rPr>
        <b/>
        <sz val="10"/>
        <color rgb="FFFF0000"/>
        <rFont val="Arial"/>
        <family val="2"/>
      </rPr>
      <t>à confirmer lors de l'encodage dans le logiciel S-Risk</t>
    </r>
  </si>
  <si>
    <t>5703-46-8</t>
  </si>
  <si>
    <t>ATSDR (1999). Effets locaux</t>
  </si>
  <si>
    <t>EFSA (2007). ATSDR, USEPA IRIS. Effets locaux</t>
  </si>
  <si>
    <t>USEPA IRIS (1989). Effets locaux</t>
  </si>
  <si>
    <t xml:space="preserve">valeur par défaut car dérivation voie à voie non appropriée. Effets locaux </t>
  </si>
  <si>
    <t>C=O</t>
  </si>
  <si>
    <t>ISSeP-Labo. le formaldéhyde est un acide très très faible. Pour libérer un proton, il faudrait une base conjuguée d’un acide dont le couple a un pka de plus de 13,7. Sur base de ce pka, on peut dire que le formaldéhyde n’a aucune propriété acido-basique dans l’eau aux conditions habituellement rencontrées dans l’environnement.</t>
  </si>
  <si>
    <t>[4], EXT. Cohérent avec [1]</t>
  </si>
  <si>
    <t>[2], EXP. [1] et [4] donnent 0,0341 (3,37E-7 atm.m3/mol) à 25°C</t>
  </si>
  <si>
    <t>[4], EXP. Idem [1]</t>
  </si>
  <si>
    <t>[8]  (MCI method). Karickhoff (1981)
Koc = 0,411 x Kow donne 0,92</t>
  </si>
  <si>
    <t>[8]  (MCI method)</t>
  </si>
  <si>
    <t>C1=CC(=C(C=C1Cl)C2=CC(=C(C=C2Cl)Cl)Cl)Cl</t>
  </si>
  <si>
    <t>C1=CC(=C(C=C1C2=CC(=C(C=C2Cl)Cl)Cl)Cl)Cl</t>
  </si>
  <si>
    <t>C1=CC(=C(C(=C1C2=CC(=C(C=C2Cl)Cl)Cl)Cl)Cl)Cl</t>
  </si>
  <si>
    <t>C1=C(C(=CC(=C1Cl)Cl)Cl)C2=CC(=C(C=C2Cl)Cl)Cl</t>
  </si>
  <si>
    <t>C1=C(C(=CC(=C1Cl)Cl)Cl)C2=CC(=C(C(=C2Cl)Cl)Cl)Cl</t>
  </si>
  <si>
    <t xml:space="preserve">[2], EXP. Valeur la plus sécuritaire entre 2 valeurs (0,00096; 0,00109) </t>
  </si>
  <si>
    <t>C1=C(C=C(C=C1Cl)Cl)Cl</t>
  </si>
  <si>
    <t>USEPA IRIS (2006). p-RFD</t>
  </si>
  <si>
    <t>Cullen et al., 1996. BCF pomme de terre du PCB 153 : 0,08 (mg/kg dw)/ (mg/kg dw sol). Conversion cf. fichier Excel de conversion.</t>
  </si>
  <si>
    <t>Cullen et al., 1996. BCF carotte du PCB 153 : 0,28 (mg/kg dw)/ (mg/kg dw sol). Conversion cf. fichier Excel de conversion.</t>
  </si>
  <si>
    <t>Cullen et al., 1996. BCF tomate du PCB 153 : 0,01 (mg/kg dw)/ (mg/kg dw sol). Conversion cf. fichier Excel de conversion.</t>
  </si>
  <si>
    <t>Cullen et al., 1996. BCF laitue du PCB 153 : 0,74 (mg/kg dw)/ (mg/kg dw sol). Conversion cf. fichier Excel de conversion.</t>
  </si>
  <si>
    <t>OMS (2017)</t>
  </si>
  <si>
    <t>)- NA (not available): absence de données pour calcul</t>
  </si>
  <si>
    <t>)- NP: non pertinent</t>
  </si>
  <si>
    <t>)- VLH: valeur limite pour la santé humaine</t>
  </si>
  <si>
    <t>)- VLN: valeur limite pour le risque de transport par lessivage vers la nappe</t>
  </si>
  <si>
    <t>)- VLnappe: valeur limite pour les risques d'utilisation de l'eau souterraine</t>
  </si>
  <si>
    <t>)- VLnappe_non_exploitable: valeur limite pour les risques d'utilisation de l'eau souterraine, valable uniquement pour les nappes non exploitables</t>
  </si>
  <si>
    <t>)- VLnappe_volatilisation: valeur limite pour les risques pour la santé humaine par volatilisation des polluants depuis la nappe</t>
  </si>
  <si>
    <t>légende</t>
  </si>
  <si>
    <t>Calcul des VLH</t>
  </si>
  <si>
    <t>en cas de calcul avec S-Risk, les valeurs obtenues auparavant avec RISC-HUMAN ont été écrasées</t>
  </si>
  <si>
    <t>Les VLH calculées avec S-RISK comportent une VLH pour un usage de type II, à l'inverse des calculs avec RISC-HUMAN.</t>
  </si>
  <si>
    <t xml:space="preserve">Dès lors en cas d'absence de VLH de type II : </t>
  </si>
  <si>
    <t>)- usage agricole (hors zone de protection de captage), l'expert peut en première approche considérer un usage résidentiel ou passer directement à une étude détaillée des risques.</t>
  </si>
  <si>
    <t>Pour les PNN repris à la fois dans cette BD PNN et dans l'outil S-RISK, les valeurs limites ont été calculées sur base des données reprises dans les fiches polluants et sur base de l'application I du modèle S-RISK.</t>
  </si>
  <si>
    <t xml:space="preserve">    L'aspect risque de lessivage sera pris en compte via la VLN (non déclinée en fonction du type d'usage).</t>
  </si>
  <si>
    <t>)- en zone de protection de captage, l'expert peut en première approche considérer la valeur limite adaptée à l'usage de fait/de droit du terrain.</t>
  </si>
  <si>
    <t>En conséquence, les données physico-chimiques et toxicologiques ont été masquées dans la présente BD PNN, de même que les valeurs limites calculées avec RISC-HUMAN</t>
  </si>
  <si>
    <t>VLH &lt; LQ</t>
  </si>
  <si>
    <t>En cas de valeur limite inférieure à la limite de quantification, prendre comme valeur limite le double de la limite de quantification fournie dans l'onglet "méthodes d'analyse (2)".</t>
  </si>
  <si>
    <t>En cas d'absence de limite de quantification dans cet onglet, ou de valeur contradictoire,</t>
  </si>
  <si>
    <t>faire valider la limite de quantification fournie par le laboratoire agréé via un courriel adressé à thomas.lambrechts@spw.wallonie.be (une validation sera faite par le laboratoire de référence de l'ISSeP)</t>
  </si>
  <si>
    <r>
      <t xml:space="preserve">Tableau des valeurs limites calculées avec le modèle </t>
    </r>
    <r>
      <rPr>
        <b/>
        <u/>
        <sz val="11"/>
        <color rgb="FF00B050"/>
        <rFont val="Calibri"/>
        <family val="2"/>
        <scheme val="minor"/>
      </rPr>
      <t>RISC-HUMAN ou S-RISK WAL</t>
    </r>
    <r>
      <rPr>
        <b/>
        <sz val="11"/>
        <color theme="1"/>
        <rFont val="Calibri"/>
        <family val="2"/>
        <scheme val="minor"/>
      </rPr>
      <t xml:space="preserve"> (date: 06/06/2018)</t>
    </r>
    <r>
      <rPr>
        <b/>
        <sz val="11"/>
        <color rgb="FFFF0000"/>
        <rFont val="Calibri"/>
        <family val="2"/>
        <scheme val="minor"/>
      </rPr>
      <t/>
    </r>
  </si>
  <si>
    <t>Calcul méthodologie OMS (µg/L)</t>
  </si>
  <si>
    <t>Pour certains PNN, les valeurs limites obtenues sont qualifiées d'indicatives. Cela signifie que l'indice de confiance pour ces valeurs est plus faible.</t>
  </si>
  <si>
    <t>Les raisons de cet indice plus faible sont reprises dans l'onglet "VL - détail VLH (S-Risk)"</t>
  </si>
  <si>
    <t>a) modèle utilisé</t>
  </si>
  <si>
    <t>b) usage de type II (usage agricole)</t>
  </si>
  <si>
    <t>c) PNN déjà encodés dans S-RISK</t>
  </si>
  <si>
    <t>d) valeurs indicatives</t>
  </si>
  <si>
    <t>VLH indicatives - les VLH des 7 PCB de Ballschmiter ont été calculées avec les paramètres physicochimiques spécifiques à chaque congénère PCB, mais avec des VTR établies pour le mélange des 7 PCB. La VLH retenue pour la somme de 7 congénères est la plus stricte des 7 VLH calculées.</t>
  </si>
  <si>
    <t>Valeur limite eau potable OMS - µg/L</t>
  </si>
  <si>
    <t>Valeur d'intervention Pays-Bas tableau 1 - µg/L</t>
  </si>
  <si>
    <t>Valeur limite EPA (MCL) - µg/L</t>
  </si>
  <si>
    <t>Valeur limite OEHHA (NL) - µg/L</t>
  </si>
  <si>
    <t>Valeur limite EPA (Regional Screening Levels) dans l'eau du robinet - µg/L</t>
  </si>
  <si>
    <t>Niveau indicatif de pollution grave Pays-Bas tableau 2 - µg/L</t>
  </si>
  <si>
    <t>VLH indicative pour usage AGR car pas de BTF "lait" disponible"</t>
  </si>
  <si>
    <t>RIVM, 2008 (idem OMS, 2003)</t>
  </si>
  <si>
    <t>Avis toxicologue CPES, avril 2018</t>
  </si>
  <si>
    <t>log(BCF) = (-0,84) + log(Soil-conc) * (-1)</t>
  </si>
  <si>
    <t>pas de donnée disponible</t>
  </si>
  <si>
    <t>pas de valeur, BTFsoil,egg</t>
  </si>
  <si>
    <t>ATSDR, 2012 (VTR corrigée et validée par CPES en avril 2018 - facteur de correction massique de 0,68)</t>
  </si>
  <si>
    <t>ANSES, 2016  (VTR corrigée et validée par CPES en avril 2018 - facteur de correction massique de 0,68)</t>
  </si>
  <si>
    <t>BCFr = fdwr * e^(2,67 – 1,12 * Ln Kd) avec fdwr = 0,159</t>
  </si>
  <si>
    <t xml:space="preserve">BCFs = fdws * e^(2,67 – 1,12 * Ln Kd) avec fdws =0,068 </t>
  </si>
  <si>
    <t>Relation de Baes et (1984)</t>
  </si>
  <si>
    <t>pas de valeur</t>
  </si>
  <si>
    <t>VLH indicative pour usage II car pas de BTF disponibles donc transfert via ingestion de produits dérivés des animaux non pris en compte</t>
  </si>
  <si>
    <t>VLH indicative pour usage AGR car pas de BTF disponibles</t>
  </si>
  <si>
    <t>c1ccc(cc1)Cl</t>
  </si>
  <si>
    <t>c1(c(cccc1)Cl)Cl</t>
  </si>
  <si>
    <t>c1(c(c(cc(c1Cl)Cl)Cl)Cl)Cl</t>
  </si>
  <si>
    <t>c1(c(c(c(Cl)c(c1Cl)Cl)Cl)Cl)Cl</t>
  </si>
  <si>
    <t>c1(c(cccc1)O)C</t>
  </si>
  <si>
    <t>c1c(cccc1O)C</t>
  </si>
  <si>
    <t>c1(ccc(O)cc1)C</t>
  </si>
  <si>
    <t>c1(c(cc(Cl)cc1Cl)O)Cl</t>
  </si>
  <si>
    <t>c1(c(c(ccc1Cl)Cl)Cl)O</t>
  </si>
  <si>
    <t>c1c(c(cc(c1Cl)Cl)Cl)O</t>
  </si>
  <si>
    <t>c1(c(cc(Cl)cc1Cl)Cl)O</t>
  </si>
  <si>
    <t>c1(c(cc(O)cc1Cl)Cl)Cl</t>
  </si>
  <si>
    <t>c1(c(c(cc(c1Cl)Cl)O)Cl)Cl</t>
  </si>
  <si>
    <t>c1(c(c(cc(c1Cl)Cl)Cl)O)Cl</t>
  </si>
  <si>
    <t>c1(c(c(cc(c1Cl)Cl)Cl)Cl)O</t>
  </si>
  <si>
    <t>C(Br)(Br)Br</t>
  </si>
  <si>
    <t>S(=O)(=O)([O-])[O-]</t>
  </si>
  <si>
    <t>c1(c(ccc(c1)C)C)C</t>
  </si>
  <si>
    <t>c1(cc(cc(c1)C)C)C</t>
  </si>
  <si>
    <t>C1C2C(C(C1Cl)Cl)[C@]3(C(=C([C@@]2(C3(Cl)Cl)Cl)Cl)Cl)Cl</t>
  </si>
  <si>
    <t xml:space="preserve"> C1[C@@H]2[C@H]3[C@@H]([C@H]1[C@H]4[C@@H]2O4)[C@]5(C(=C([C@@]3(C5(Cl)Cl)Cl)Cl)Cl)Cl</t>
  </si>
  <si>
    <t>c1(c(c(c(Cl)c(c1Cl)Cl)Cl)Cl)O</t>
  </si>
  <si>
    <t>c1cc(ccc1C(c2ccc(cc2)Cl)C(Cl)(Cl)Cl)Cl</t>
  </si>
  <si>
    <t>c1cc(c(cc1Cl)Cl)OCC(=O)O</t>
  </si>
  <si>
    <t>C(CCC)CC</t>
  </si>
  <si>
    <t>c1(c(c([N+](=O)[O-])ccc1)C)[N+](=O)[O-]</t>
  </si>
  <si>
    <t>C1[C@@H](O1)CCl</t>
  </si>
  <si>
    <t>c1(c(cc(Cl)cc1Cl)Cl)Cl</t>
  </si>
  <si>
    <t>Mesure du pH et sulfates sur lixiviat comme indication présence d'acide sulfurique</t>
  </si>
  <si>
    <t>Mesure du pH et nitrates sur lixiviat comme indication présence d'acide nitrique</t>
  </si>
  <si>
    <t>NBN EN 16174 : 2012</t>
  </si>
  <si>
    <t>Informations générales sur la "base de données Polluants non normés" (BD PNN)</t>
  </si>
  <si>
    <t>Le présent fichier constitue la BD PNN mise à disposition par l’administration à destination des experts agréés en gestion des sols pollués.</t>
  </si>
  <si>
    <t>Une mise à jour est prévue tous les 6 mois . Il est donc important pour l'utilisateur de toujours consulter la dernière version à jour, disponible sur le site internet, et de référencer dans son étude la version de la base de données utilisée. En effet, une procédure d’assainissement entamée peut se poursuivre sur base des valeurs limites utilisées et acceptées dans le cadre de l’étude d’orientation.</t>
  </si>
  <si>
    <t>Les VLH ont été calculées avec les modèles RISC-HUMAN ou S-RISK WAL</t>
  </si>
  <si>
    <t>substance considérée comme organique dans S-Risk avant de s'assurer que les phénomènes de volatilisation soient bien pris en compte dans les calculs</t>
  </si>
  <si>
    <t>VLH indicatives (cfr onglet "VL - détail VLH (S-Risk)") ; l'analyse du 1.4 dioxane dans le sol ne doit s'envisager que dans les cas particuliers où la source potentielle de pollution est composée principalement de dioxane (par exemple en citerne). Dans les cas contraires, comme par exemple pour les impacts en 1,1,2-TCA (intégrant environ 4 à 8 % en dioxane), les investigations doivent surtout se focaliser sur les eaux souterraines.</t>
  </si>
  <si>
    <t xml:space="preserve">Polluants non normés - légende et commentaires importants </t>
  </si>
  <si>
    <t>autres usages standards décrits dans le GRER v2</t>
  </si>
  <si>
    <t>liste des PNN pour lesquels aucune valeur limite n'a été calculée par manque de données ou parce que ces dernières ne sont pas pertinentes</t>
  </si>
</sst>
</file>

<file path=xl/styles.xml><?xml version="1.0" encoding="utf-8"?>
<styleSheet xmlns="http://schemas.openxmlformats.org/spreadsheetml/2006/main">
  <numFmts count="16">
    <numFmt numFmtId="43" formatCode="_ * #,##0.00_ ;_ * \-#,##0.00_ ;_ * &quot;-&quot;??_ ;_ @_ "/>
    <numFmt numFmtId="164" formatCode="0.000E+00"/>
    <numFmt numFmtId="165" formatCode="0.0"/>
    <numFmt numFmtId="166" formatCode="0.0000"/>
    <numFmt numFmtId="167" formatCode="0.000"/>
    <numFmt numFmtId="168" formatCode="0.00000"/>
    <numFmt numFmtId="169" formatCode="0.E+00"/>
    <numFmt numFmtId="170" formatCode="0.0000000"/>
    <numFmt numFmtId="171" formatCode="0.000000"/>
    <numFmt numFmtId="172" formatCode="0.0E+00"/>
    <numFmt numFmtId="173" formatCode="#,##0.000"/>
    <numFmt numFmtId="174" formatCode="0.00000000000"/>
    <numFmt numFmtId="175" formatCode="0.000000000000"/>
    <numFmt numFmtId="176" formatCode="0.0000000000"/>
    <numFmt numFmtId="177" formatCode="0.00000000000000"/>
    <numFmt numFmtId="178" formatCode="0.0000000000000"/>
  </numFmts>
  <fonts count="57">
    <font>
      <sz val="11"/>
      <color theme="1"/>
      <name val="Calibri"/>
      <family val="2"/>
      <scheme val="minor"/>
    </font>
    <font>
      <sz val="11"/>
      <color theme="1"/>
      <name val="Calibri"/>
      <family val="2"/>
      <scheme val="minor"/>
    </font>
    <font>
      <sz val="10"/>
      <name val="Arial"/>
      <family val="2"/>
    </font>
    <font>
      <b/>
      <sz val="12"/>
      <name val="Arial"/>
      <family val="2"/>
    </font>
    <font>
      <sz val="12"/>
      <name val="Arial"/>
      <family val="2"/>
    </font>
    <font>
      <sz val="11"/>
      <name val="Arial"/>
      <family val="2"/>
    </font>
    <font>
      <b/>
      <sz val="12"/>
      <color theme="1"/>
      <name val="Arial"/>
      <family val="2"/>
    </font>
    <font>
      <sz val="12"/>
      <color theme="1"/>
      <name val="Arial"/>
      <family val="2"/>
    </font>
    <font>
      <u/>
      <sz val="10"/>
      <name val="Arial"/>
      <family val="2"/>
    </font>
    <font>
      <u/>
      <sz val="10"/>
      <color theme="10"/>
      <name val="Arial"/>
      <family val="2"/>
    </font>
    <font>
      <b/>
      <sz val="12"/>
      <color theme="1"/>
      <name val="Segoe UI"/>
      <family val="2"/>
    </font>
    <font>
      <b/>
      <sz val="10"/>
      <name val="Arial"/>
      <family val="2"/>
    </font>
    <font>
      <sz val="11"/>
      <name val="Calibri"/>
      <family val="2"/>
      <scheme val="minor"/>
    </font>
    <font>
      <b/>
      <sz val="11"/>
      <color theme="1"/>
      <name val="Calibri"/>
      <family val="2"/>
      <scheme val="minor"/>
    </font>
    <font>
      <b/>
      <sz val="11"/>
      <name val="Calibri"/>
      <family val="2"/>
      <scheme val="minor"/>
    </font>
    <font>
      <b/>
      <sz val="12"/>
      <color theme="1"/>
      <name val="Calibri"/>
      <family val="2"/>
      <scheme val="minor"/>
    </font>
    <font>
      <sz val="9"/>
      <name val="Calibri"/>
      <family val="2"/>
      <scheme val="minor"/>
    </font>
    <font>
      <b/>
      <sz val="11"/>
      <color indexed="62"/>
      <name val="Calibri"/>
      <family val="2"/>
      <scheme val="minor"/>
    </font>
    <font>
      <b/>
      <sz val="11"/>
      <color indexed="10"/>
      <name val="Calibri"/>
      <family val="2"/>
      <scheme val="minor"/>
    </font>
    <font>
      <b/>
      <sz val="11"/>
      <color indexed="18"/>
      <name val="Calibri"/>
      <family val="2"/>
      <scheme val="minor"/>
    </font>
    <font>
      <i/>
      <sz val="11"/>
      <name val="Calibri"/>
      <family val="2"/>
      <scheme val="minor"/>
    </font>
    <font>
      <sz val="11"/>
      <color theme="3"/>
      <name val="Calibri"/>
      <family val="2"/>
      <scheme val="minor"/>
    </font>
    <font>
      <b/>
      <i/>
      <sz val="11"/>
      <color theme="1"/>
      <name val="Calibri"/>
      <family val="2"/>
      <scheme val="minor"/>
    </font>
    <font>
      <b/>
      <sz val="11"/>
      <color rgb="FFFF0000"/>
      <name val="Calibri"/>
      <family val="2"/>
      <scheme val="minor"/>
    </font>
    <font>
      <sz val="10"/>
      <color theme="1"/>
      <name val="Verdana"/>
      <family val="2"/>
    </font>
    <font>
      <vertAlign val="subscript"/>
      <sz val="10"/>
      <color theme="1"/>
      <name val="Verdana"/>
      <family val="2"/>
    </font>
    <font>
      <sz val="14"/>
      <name val="Arial"/>
      <family val="2"/>
    </font>
    <font>
      <b/>
      <sz val="14"/>
      <name val="Arial"/>
      <family val="2"/>
    </font>
    <font>
      <vertAlign val="subscript"/>
      <sz val="10"/>
      <name val="Arial"/>
      <family val="2"/>
    </font>
    <font>
      <vertAlign val="superscript"/>
      <sz val="10"/>
      <name val="Arial"/>
      <family val="2"/>
    </font>
    <font>
      <sz val="9"/>
      <name val="Verdana"/>
      <family val="2"/>
    </font>
    <font>
      <vertAlign val="superscript"/>
      <sz val="9"/>
      <name val="Verdana"/>
      <family val="2"/>
    </font>
    <font>
      <sz val="11"/>
      <color rgb="FF000000"/>
      <name val="Calibri"/>
      <family val="2"/>
      <scheme val="minor"/>
    </font>
    <font>
      <b/>
      <u/>
      <sz val="11"/>
      <color theme="1"/>
      <name val="Calibri"/>
      <family val="2"/>
      <scheme val="minor"/>
    </font>
    <font>
      <b/>
      <u/>
      <sz val="11"/>
      <color rgb="FF00B050"/>
      <name val="Calibri"/>
      <family val="2"/>
      <scheme val="minor"/>
    </font>
    <font>
      <sz val="10"/>
      <color indexed="8"/>
      <name val="Arial"/>
      <family val="2"/>
    </font>
    <font>
      <strike/>
      <sz val="11"/>
      <color theme="1"/>
      <name val="Calibri"/>
      <family val="2"/>
      <scheme val="minor"/>
    </font>
    <font>
      <b/>
      <u/>
      <sz val="10"/>
      <color theme="10"/>
      <name val="Arial"/>
      <family val="2"/>
    </font>
    <font>
      <b/>
      <i/>
      <sz val="11"/>
      <color rgb="FFFF0000"/>
      <name val="Calibri"/>
      <family val="2"/>
      <scheme val="minor"/>
    </font>
    <font>
      <b/>
      <vertAlign val="subscript"/>
      <sz val="11"/>
      <color rgb="FFFF0000"/>
      <name val="Calibri"/>
      <family val="2"/>
      <scheme val="minor"/>
    </font>
    <font>
      <b/>
      <sz val="14"/>
      <color theme="1"/>
      <name val="Calibri"/>
      <family val="2"/>
      <scheme val="minor"/>
    </font>
    <font>
      <sz val="10"/>
      <color theme="1"/>
      <name val="Arial"/>
      <family val="2"/>
    </font>
    <font>
      <vertAlign val="superscript"/>
      <sz val="10"/>
      <color theme="1"/>
      <name val="Arial"/>
      <family val="2"/>
    </font>
    <font>
      <b/>
      <sz val="14"/>
      <color rgb="FFFF0000"/>
      <name val="Arial"/>
      <family val="2"/>
    </font>
    <font>
      <u/>
      <sz val="12"/>
      <name val="Arial"/>
      <family val="2"/>
    </font>
    <font>
      <b/>
      <sz val="10"/>
      <color theme="1"/>
      <name val="Arial"/>
      <family val="2"/>
    </font>
    <font>
      <u/>
      <sz val="11"/>
      <color theme="10"/>
      <name val="Calibri"/>
      <family val="2"/>
      <scheme val="minor"/>
    </font>
    <font>
      <b/>
      <sz val="10"/>
      <color rgb="FFFF0000"/>
      <name val="Arial"/>
      <family val="2"/>
    </font>
    <font>
      <i/>
      <sz val="11"/>
      <color theme="1"/>
      <name val="Calibri"/>
      <family val="2"/>
      <scheme val="minor"/>
    </font>
    <font>
      <i/>
      <sz val="10"/>
      <name val="Arial"/>
      <family val="2"/>
    </font>
    <font>
      <i/>
      <sz val="10"/>
      <color theme="1"/>
      <name val="Arial"/>
      <family val="2"/>
    </font>
    <font>
      <sz val="10"/>
      <color rgb="FF212121"/>
      <name val="Arial"/>
      <family val="2"/>
    </font>
    <font>
      <i/>
      <sz val="10"/>
      <color rgb="FF000000"/>
      <name val="Arial"/>
      <family val="2"/>
    </font>
    <font>
      <sz val="10"/>
      <color rgb="FF000000"/>
      <name val="Arial"/>
      <family val="2"/>
    </font>
    <font>
      <sz val="11"/>
      <color rgb="FF212121"/>
      <name val="Arial"/>
      <family val="2"/>
    </font>
    <font>
      <sz val="12"/>
      <name val="Calibri"/>
      <family val="2"/>
      <scheme val="minor"/>
    </font>
    <font>
      <b/>
      <sz val="10"/>
      <color rgb="FF00B050"/>
      <name val="Arial"/>
      <family val="2"/>
    </font>
  </fonts>
  <fills count="15">
    <fill>
      <patternFill patternType="none"/>
    </fill>
    <fill>
      <patternFill patternType="gray125"/>
    </fill>
    <fill>
      <patternFill patternType="solid">
        <fgColor theme="0" tint="-4.9989318521683403E-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rgb="FFFFFF00"/>
        <bgColor indexed="64"/>
      </patternFill>
    </fill>
    <fill>
      <patternFill patternType="solid">
        <fgColor theme="6" tint="0.39997558519241921"/>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rgb="FFF8F6AC"/>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0.34998626667073579"/>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1">
    <xf numFmtId="0" fontId="0" fillId="0" borderId="0"/>
    <xf numFmtId="0" fontId="2" fillId="0" borderId="0"/>
    <xf numFmtId="0" fontId="1" fillId="0" borderId="0"/>
    <xf numFmtId="0" fontId="9"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164" fontId="10" fillId="2" borderId="1">
      <alignment horizontal="left" vertical="center"/>
    </xf>
    <xf numFmtId="0" fontId="1" fillId="0" borderId="0"/>
    <xf numFmtId="0" fontId="1" fillId="0" borderId="0"/>
    <xf numFmtId="0" fontId="35" fillId="0" borderId="0"/>
    <xf numFmtId="0" fontId="1" fillId="0" borderId="0"/>
    <xf numFmtId="0" fontId="2" fillId="0" borderId="0"/>
    <xf numFmtId="43" fontId="1" fillId="0" borderId="0" applyFont="0" applyFill="0" applyBorder="0" applyAlignment="0" applyProtection="0"/>
    <xf numFmtId="0" fontId="46" fillId="0" borderId="0" applyNumberFormat="0" applyFill="0" applyBorder="0" applyAlignment="0" applyProtection="0"/>
  </cellStyleXfs>
  <cellXfs count="1163">
    <xf numFmtId="0" fontId="0" fillId="0" borderId="0" xfId="0"/>
    <xf numFmtId="0" fontId="2" fillId="0" borderId="1" xfId="1" applyBorder="1" applyAlignment="1">
      <alignment horizontal="center"/>
    </xf>
    <xf numFmtId="0" fontId="2" fillId="0" borderId="1" xfId="1" applyFont="1" applyBorder="1" applyAlignment="1">
      <alignment horizontal="center" vertical="center"/>
    </xf>
    <xf numFmtId="0" fontId="0" fillId="0" borderId="0" xfId="0" applyAlignment="1">
      <alignment horizontal="center" vertical="center"/>
    </xf>
    <xf numFmtId="0" fontId="2" fillId="0" borderId="1" xfId="1" applyBorder="1" applyAlignment="1">
      <alignment horizontal="center" wrapText="1"/>
    </xf>
    <xf numFmtId="0" fontId="2" fillId="0" borderId="1" xfId="1" applyBorder="1"/>
    <xf numFmtId="0" fontId="2" fillId="0" borderId="1" xfId="1" applyBorder="1" applyAlignment="1">
      <alignment horizontal="left" wrapText="1"/>
    </xf>
    <xf numFmtId="0" fontId="2" fillId="0" borderId="1" xfId="1" applyFont="1" applyBorder="1" applyAlignment="1">
      <alignment horizontal="center" wrapText="1"/>
    </xf>
    <xf numFmtId="0" fontId="2" fillId="0" borderId="1" xfId="1" applyFont="1" applyBorder="1" applyAlignment="1">
      <alignment horizontal="center"/>
    </xf>
    <xf numFmtId="0" fontId="0" fillId="0" borderId="1" xfId="0" applyBorder="1" applyAlignment="1">
      <alignment horizontal="center"/>
    </xf>
    <xf numFmtId="0" fontId="4" fillId="0" borderId="1" xfId="0" applyFont="1" applyBorder="1" applyAlignment="1">
      <alignment horizontal="center"/>
    </xf>
    <xf numFmtId="0" fontId="4" fillId="0" borderId="1" xfId="0" applyFont="1" applyFill="1" applyBorder="1" applyAlignment="1" applyProtection="1">
      <alignment horizontal="center" vertical="center"/>
    </xf>
    <xf numFmtId="0" fontId="2" fillId="0" borderId="0" xfId="1"/>
    <xf numFmtId="0" fontId="2" fillId="0" borderId="0" xfId="1" applyFont="1" applyBorder="1" applyAlignment="1">
      <alignment horizontal="center" wrapText="1"/>
    </xf>
    <xf numFmtId="0" fontId="2" fillId="0" borderId="0" xfId="1" applyBorder="1" applyAlignment="1"/>
    <xf numFmtId="0" fontId="2" fillId="0" borderId="0" xfId="1" applyBorder="1" applyAlignment="1">
      <alignment horizontal="center"/>
    </xf>
    <xf numFmtId="0" fontId="2" fillId="0" borderId="0" xfId="1" applyFont="1" applyBorder="1" applyAlignment="1">
      <alignment horizontal="left"/>
    </xf>
    <xf numFmtId="0" fontId="2" fillId="0" borderId="0" xfId="1" applyBorder="1" applyAlignment="1">
      <alignment horizontal="left"/>
    </xf>
    <xf numFmtId="0" fontId="2" fillId="0" borderId="0" xfId="1" applyBorder="1"/>
    <xf numFmtId="0" fontId="2" fillId="0" borderId="1" xfId="1" applyFont="1" applyBorder="1" applyAlignment="1">
      <alignment horizontal="left"/>
    </xf>
    <xf numFmtId="0" fontId="9" fillId="0" borderId="1" xfId="3" applyBorder="1" applyAlignment="1">
      <alignment horizontal="center"/>
    </xf>
    <xf numFmtId="0" fontId="9" fillId="0" borderId="1" xfId="3" applyBorder="1" applyAlignment="1">
      <alignment horizontal="right"/>
    </xf>
    <xf numFmtId="0" fontId="9" fillId="0" borderId="1" xfId="3" applyBorder="1"/>
    <xf numFmtId="0" fontId="8" fillId="0" borderId="1" xfId="3" applyFont="1" applyBorder="1" applyAlignment="1">
      <alignment horizontal="center"/>
    </xf>
    <xf numFmtId="0" fontId="8" fillId="0" borderId="1" xfId="1" applyFont="1" applyBorder="1" applyAlignment="1">
      <alignment horizontal="center"/>
    </xf>
    <xf numFmtId="0" fontId="2" fillId="0" borderId="1" xfId="1" applyBorder="1" applyAlignment="1">
      <alignment horizontal="left"/>
    </xf>
    <xf numFmtId="0" fontId="2" fillId="0" borderId="1" xfId="1" applyBorder="1" applyAlignment="1"/>
    <xf numFmtId="0" fontId="2" fillId="0" borderId="1" xfId="1" applyFont="1" applyBorder="1" applyAlignment="1">
      <alignment horizontal="center"/>
    </xf>
    <xf numFmtId="0" fontId="2" fillId="0" borderId="1" xfId="1" applyBorder="1" applyAlignment="1">
      <alignment horizontal="center"/>
    </xf>
    <xf numFmtId="0" fontId="0" fillId="0" borderId="1" xfId="0" applyFont="1" applyFill="1" applyBorder="1" applyAlignment="1">
      <alignment horizontal="center" vertical="center"/>
    </xf>
    <xf numFmtId="0" fontId="0" fillId="0" borderId="1" xfId="0" quotePrefix="1" applyFont="1" applyFill="1" applyBorder="1" applyAlignment="1">
      <alignment horizontal="center" vertical="center"/>
    </xf>
    <xf numFmtId="0" fontId="0" fillId="0" borderId="1" xfId="0" applyFont="1" applyBorder="1" applyAlignment="1">
      <alignment horizontal="center" vertical="center"/>
    </xf>
    <xf numFmtId="0" fontId="0" fillId="0" borderId="0" xfId="0" applyFont="1" applyAlignment="1">
      <alignment horizontal="center" vertical="center"/>
    </xf>
    <xf numFmtId="0" fontId="0" fillId="0" borderId="0" xfId="0" applyAlignment="1">
      <alignment horizontal="left" vertical="center"/>
    </xf>
    <xf numFmtId="0" fontId="0" fillId="0" borderId="0" xfId="0" applyFont="1" applyAlignment="1">
      <alignment horizontal="center" vertical="center" wrapText="1"/>
    </xf>
    <xf numFmtId="0" fontId="13" fillId="0" borderId="0" xfId="0" applyFont="1" applyAlignment="1">
      <alignment horizontal="left" vertical="center"/>
    </xf>
    <xf numFmtId="0" fontId="0" fillId="0" borderId="1" xfId="0" applyFill="1" applyBorder="1" applyAlignment="1">
      <alignment horizontal="center" vertical="center"/>
    </xf>
    <xf numFmtId="0" fontId="2" fillId="0" borderId="1" xfId="0" applyFont="1" applyBorder="1" applyAlignment="1">
      <alignment horizontal="center" wrapText="1"/>
    </xf>
    <xf numFmtId="0" fontId="2" fillId="3" borderId="1" xfId="1" applyFont="1" applyFill="1" applyBorder="1" applyAlignment="1">
      <alignment horizontal="center" wrapText="1"/>
    </xf>
    <xf numFmtId="0" fontId="2" fillId="3" borderId="1" xfId="0" applyFont="1" applyFill="1" applyBorder="1" applyAlignment="1">
      <alignment horizontal="center" vertical="center" wrapText="1"/>
    </xf>
    <xf numFmtId="0" fontId="0" fillId="3" borderId="14" xfId="0" applyFill="1" applyBorder="1"/>
    <xf numFmtId="0" fontId="0" fillId="3" borderId="15" xfId="0" applyFill="1" applyBorder="1" applyAlignment="1">
      <alignment horizontal="center" vertical="center"/>
    </xf>
    <xf numFmtId="0" fontId="0" fillId="3" borderId="15" xfId="0" applyFill="1" applyBorder="1"/>
    <xf numFmtId="0" fontId="0" fillId="3" borderId="16" xfId="0" applyFill="1" applyBorder="1"/>
    <xf numFmtId="0" fontId="0" fillId="3" borderId="17" xfId="0" applyFill="1" applyBorder="1"/>
    <xf numFmtId="0" fontId="0" fillId="3" borderId="0" xfId="0" applyFill="1" applyBorder="1" applyAlignment="1">
      <alignment horizontal="center" vertical="center"/>
    </xf>
    <xf numFmtId="0" fontId="0" fillId="3" borderId="0" xfId="0" applyFill="1" applyBorder="1"/>
    <xf numFmtId="0" fontId="0" fillId="3" borderId="18" xfId="0" applyFill="1" applyBorder="1"/>
    <xf numFmtId="0" fontId="0" fillId="3" borderId="20" xfId="0" applyFill="1" applyBorder="1" applyAlignment="1">
      <alignment horizontal="center" vertical="center"/>
    </xf>
    <xf numFmtId="0" fontId="0" fillId="3" borderId="20" xfId="0" applyFill="1" applyBorder="1"/>
    <xf numFmtId="0" fontId="0" fillId="3" borderId="21" xfId="0" applyFill="1" applyBorder="1"/>
    <xf numFmtId="0" fontId="13" fillId="3" borderId="19" xfId="0" applyFont="1" applyFill="1" applyBorder="1"/>
    <xf numFmtId="0" fontId="14" fillId="4" borderId="1" xfId="0" applyFont="1" applyFill="1" applyBorder="1" applyAlignment="1">
      <alignment horizontal="center" vertical="center" wrapText="1"/>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3" fillId="4" borderId="1" xfId="0" applyFont="1" applyFill="1" applyBorder="1" applyAlignment="1">
      <alignment horizontal="center" wrapText="1"/>
    </xf>
    <xf numFmtId="0" fontId="11" fillId="4" borderId="1" xfId="1" applyFont="1" applyFill="1" applyBorder="1" applyAlignment="1">
      <alignment horizontal="center" vertical="center"/>
    </xf>
    <xf numFmtId="0" fontId="11" fillId="4" borderId="1" xfId="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xf>
    <xf numFmtId="0" fontId="13" fillId="4" borderId="1" xfId="0" applyFont="1" applyFill="1" applyBorder="1" applyAlignment="1">
      <alignment vertical="center"/>
    </xf>
    <xf numFmtId="0" fontId="0" fillId="0" borderId="1" xfId="0" applyFill="1" applyBorder="1" applyAlignment="1">
      <alignment horizontal="center"/>
    </xf>
    <xf numFmtId="2" fontId="12" fillId="0" borderId="1" xfId="0" applyNumberFormat="1" applyFont="1" applyBorder="1" applyAlignment="1" applyProtection="1">
      <alignment horizontal="center" vertical="center" wrapText="1"/>
      <protection hidden="1"/>
    </xf>
    <xf numFmtId="2" fontId="12" fillId="0" borderId="1" xfId="0" applyNumberFormat="1" applyFont="1" applyBorder="1" applyAlignment="1">
      <alignment horizontal="center"/>
    </xf>
    <xf numFmtId="0" fontId="12" fillId="0" borderId="1" xfId="0" applyFont="1" applyFill="1" applyBorder="1" applyAlignment="1">
      <alignment horizontal="center" wrapText="1"/>
    </xf>
    <xf numFmtId="11" fontId="12" fillId="0" borderId="1" xfId="0" applyNumberFormat="1" applyFont="1" applyFill="1" applyBorder="1" applyAlignment="1">
      <alignment horizontal="center"/>
    </xf>
    <xf numFmtId="0" fontId="0" fillId="0" borderId="4" xfId="0" applyFont="1" applyFill="1" applyBorder="1" applyAlignment="1">
      <alignment horizontal="center" vertical="center"/>
    </xf>
    <xf numFmtId="11" fontId="16" fillId="0" borderId="1" xfId="0" applyNumberFormat="1" applyFont="1" applyFill="1" applyBorder="1" applyAlignment="1">
      <alignment horizontal="center"/>
    </xf>
    <xf numFmtId="0" fontId="0" fillId="0" borderId="0" xfId="0" applyFill="1"/>
    <xf numFmtId="0" fontId="0" fillId="0" borderId="4" xfId="0" applyFill="1" applyBorder="1" applyAlignment="1">
      <alignment horizontal="center"/>
    </xf>
    <xf numFmtId="0" fontId="0" fillId="0" borderId="1" xfId="0" applyFont="1" applyFill="1" applyBorder="1" applyAlignment="1">
      <alignment wrapText="1"/>
    </xf>
    <xf numFmtId="0" fontId="12" fillId="0" borderId="1" xfId="0" applyFont="1" applyFill="1" applyBorder="1"/>
    <xf numFmtId="0" fontId="12" fillId="0" borderId="1" xfId="0" applyFont="1" applyFill="1" applyBorder="1" applyAlignment="1" applyProtection="1">
      <alignment horizontal="left" vertical="center" wrapText="1"/>
      <protection locked="0"/>
    </xf>
    <xf numFmtId="0" fontId="0" fillId="0" borderId="0" xfId="0" applyFill="1" applyAlignment="1">
      <alignment horizontal="center"/>
    </xf>
    <xf numFmtId="0" fontId="0" fillId="0" borderId="0" xfId="0" applyAlignment="1">
      <alignment horizontal="center"/>
    </xf>
    <xf numFmtId="0" fontId="0" fillId="4" borderId="0" xfId="0" applyFill="1" applyBorder="1"/>
    <xf numFmtId="0" fontId="13" fillId="4" borderId="0" xfId="0" applyFont="1" applyFill="1" applyBorder="1" applyAlignment="1">
      <alignment horizontal="center" vertical="center"/>
    </xf>
    <xf numFmtId="0" fontId="15" fillId="4" borderId="1" xfId="0" applyFont="1" applyFill="1" applyBorder="1" applyAlignment="1">
      <alignment horizontal="center" vertical="center"/>
    </xf>
    <xf numFmtId="0" fontId="15" fillId="4" borderId="1" xfId="0" applyFont="1" applyFill="1" applyBorder="1" applyAlignment="1">
      <alignment vertical="center"/>
    </xf>
    <xf numFmtId="0" fontId="15" fillId="4" borderId="5" xfId="0" applyFont="1" applyFill="1" applyBorder="1" applyAlignment="1">
      <alignment vertical="center"/>
    </xf>
    <xf numFmtId="0" fontId="15" fillId="4" borderId="11" xfId="0" applyFont="1" applyFill="1" applyBorder="1" applyAlignment="1">
      <alignment vertical="center"/>
    </xf>
    <xf numFmtId="0" fontId="0" fillId="0" borderId="0" xfId="0" applyBorder="1"/>
    <xf numFmtId="0" fontId="0" fillId="4" borderId="1" xfId="0" applyFont="1" applyFill="1" applyBorder="1" applyAlignment="1">
      <alignment horizontal="center"/>
    </xf>
    <xf numFmtId="0" fontId="0" fillId="4" borderId="9" xfId="0" applyFont="1" applyFill="1" applyBorder="1" applyAlignment="1">
      <alignment horizontal="center"/>
    </xf>
    <xf numFmtId="0" fontId="0" fillId="0" borderId="0" xfId="0" applyFont="1" applyBorder="1" applyAlignment="1">
      <alignment horizontal="center"/>
    </xf>
    <xf numFmtId="0" fontId="0" fillId="0" borderId="0" xfId="0" applyFont="1" applyFill="1" applyBorder="1" applyAlignment="1">
      <alignment horizontal="center"/>
    </xf>
    <xf numFmtId="0" fontId="17" fillId="4" borderId="1" xfId="0" applyFont="1" applyFill="1" applyBorder="1" applyAlignment="1" applyProtection="1">
      <alignment horizontal="center" vertical="center" wrapText="1"/>
      <protection hidden="1"/>
    </xf>
    <xf numFmtId="0" fontId="17" fillId="0" borderId="0" xfId="0" applyFont="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0" fillId="0" borderId="1" xfId="0" applyNumberFormat="1" applyFont="1" applyFill="1" applyBorder="1" applyAlignment="1">
      <alignment horizontal="center" vertical="center" wrapText="1"/>
    </xf>
    <xf numFmtId="0" fontId="0" fillId="0" borderId="1" xfId="0" applyFont="1" applyFill="1" applyBorder="1"/>
    <xf numFmtId="11" fontId="20" fillId="0" borderId="1" xfId="0" applyNumberFormat="1" applyFont="1" applyBorder="1" applyAlignment="1">
      <alignment horizontal="center"/>
    </xf>
    <xf numFmtId="2" fontId="0" fillId="0" borderId="0" xfId="0" applyNumberFormat="1" applyFont="1" applyBorder="1" applyAlignment="1">
      <alignment horizontal="center"/>
    </xf>
    <xf numFmtId="0" fontId="12" fillId="0" borderId="1" xfId="0" applyFont="1" applyBorder="1"/>
    <xf numFmtId="0" fontId="12" fillId="0" borderId="1" xfId="0" applyFont="1" applyBorder="1" applyAlignment="1">
      <alignment horizontal="center"/>
    </xf>
    <xf numFmtId="0" fontId="0" fillId="0" borderId="1" xfId="0" quotePrefix="1" applyFont="1" applyBorder="1" applyAlignment="1">
      <alignment horizontal="center" vertical="center"/>
    </xf>
    <xf numFmtId="165" fontId="12" fillId="0" borderId="1" xfId="0" applyNumberFormat="1" applyFont="1" applyFill="1" applyBorder="1" applyAlignment="1">
      <alignment horizontal="center"/>
    </xf>
    <xf numFmtId="2" fontId="12" fillId="0" borderId="1" xfId="0" applyNumberFormat="1" applyFont="1" applyFill="1" applyBorder="1" applyAlignment="1">
      <alignment horizontal="center"/>
    </xf>
    <xf numFmtId="166" fontId="12" fillId="0" borderId="1" xfId="0" applyNumberFormat="1" applyFont="1" applyBorder="1" applyAlignment="1">
      <alignment horizontal="center"/>
    </xf>
    <xf numFmtId="166" fontId="0" fillId="0" borderId="0" xfId="0" applyNumberFormat="1" applyFont="1" applyBorder="1" applyAlignment="1">
      <alignment horizontal="center"/>
    </xf>
    <xf numFmtId="1" fontId="12" fillId="0" borderId="1" xfId="0" applyNumberFormat="1" applyFont="1" applyBorder="1" applyAlignment="1">
      <alignment horizontal="center"/>
    </xf>
    <xf numFmtId="167" fontId="12" fillId="0" borderId="1" xfId="0" applyNumberFormat="1" applyFont="1" applyBorder="1" applyAlignment="1">
      <alignment horizontal="center"/>
    </xf>
    <xf numFmtId="167" fontId="0" fillId="0" borderId="0" xfId="0" applyNumberFormat="1" applyFont="1" applyBorder="1" applyAlignment="1">
      <alignment horizontal="center"/>
    </xf>
    <xf numFmtId="0" fontId="0" fillId="0" borderId="0" xfId="0" applyFont="1" applyBorder="1"/>
    <xf numFmtId="0" fontId="0" fillId="0" borderId="0" xfId="0" applyFont="1"/>
    <xf numFmtId="169" fontId="20" fillId="0" borderId="1" xfId="0" applyNumberFormat="1" applyFont="1" applyBorder="1" applyAlignment="1">
      <alignment horizontal="center"/>
    </xf>
    <xf numFmtId="165" fontId="12" fillId="0" borderId="1" xfId="0" applyNumberFormat="1" applyFont="1" applyBorder="1" applyAlignment="1">
      <alignment horizontal="center"/>
    </xf>
    <xf numFmtId="1" fontId="0" fillId="0" borderId="0" xfId="0" applyNumberFormat="1" applyFont="1" applyBorder="1" applyAlignment="1">
      <alignment horizontal="center"/>
    </xf>
    <xf numFmtId="2" fontId="0" fillId="0" borderId="0" xfId="0" applyNumberFormat="1" applyFont="1" applyBorder="1"/>
    <xf numFmtId="165" fontId="0" fillId="0" borderId="0" xfId="0" applyNumberFormat="1" applyFont="1" applyBorder="1" applyAlignment="1">
      <alignment horizontal="center"/>
    </xf>
    <xf numFmtId="170" fontId="0" fillId="0" borderId="0" xfId="0" applyNumberFormat="1" applyFont="1" applyBorder="1" applyAlignment="1">
      <alignment horizontal="center"/>
    </xf>
    <xf numFmtId="168" fontId="12" fillId="0" borderId="1" xfId="0" applyNumberFormat="1" applyFont="1" applyBorder="1" applyAlignment="1">
      <alignment horizontal="center"/>
    </xf>
    <xf numFmtId="168" fontId="0" fillId="0" borderId="0" xfId="0" applyNumberFormat="1" applyFont="1" applyBorder="1" applyAlignment="1">
      <alignment horizontal="center"/>
    </xf>
    <xf numFmtId="171" fontId="0" fillId="0" borderId="0" xfId="0" applyNumberFormat="1" applyFont="1" applyBorder="1" applyAlignment="1">
      <alignment horizontal="center"/>
    </xf>
    <xf numFmtId="11" fontId="12" fillId="0" borderId="1" xfId="0" applyNumberFormat="1" applyFont="1" applyBorder="1" applyAlignment="1" applyProtection="1">
      <alignment horizontal="center" vertical="center" wrapText="1"/>
      <protection hidden="1"/>
    </xf>
    <xf numFmtId="11" fontId="12" fillId="0" borderId="1" xfId="0" applyNumberFormat="1" applyFont="1" applyBorder="1" applyAlignment="1">
      <alignment horizontal="center"/>
    </xf>
    <xf numFmtId="0" fontId="12" fillId="0" borderId="1" xfId="0" applyFont="1" applyBorder="1" applyAlignment="1" applyProtection="1">
      <alignment horizontal="center" vertical="center" wrapText="1"/>
      <protection hidden="1"/>
    </xf>
    <xf numFmtId="2" fontId="20" fillId="0" borderId="1" xfId="0" applyNumberFormat="1" applyFont="1" applyBorder="1" applyAlignment="1">
      <alignment horizontal="left"/>
    </xf>
    <xf numFmtId="0" fontId="12" fillId="0" borderId="1" xfId="0" applyFont="1" applyFill="1" applyBorder="1" applyAlignment="1">
      <alignment horizontal="left" vertical="center"/>
    </xf>
    <xf numFmtId="0" fontId="0" fillId="0" borderId="1" xfId="0" applyFill="1" applyBorder="1" applyAlignment="1">
      <alignment vertical="center"/>
    </xf>
    <xf numFmtId="0" fontId="0" fillId="0" borderId="6" xfId="0" applyFont="1" applyFill="1" applyBorder="1" applyAlignment="1">
      <alignment horizontal="center"/>
    </xf>
    <xf numFmtId="0" fontId="0" fillId="0" borderId="1" xfId="0" applyFont="1" applyFill="1" applyBorder="1" applyAlignment="1">
      <alignment horizontal="center"/>
    </xf>
    <xf numFmtId="0" fontId="0" fillId="0" borderId="6" xfId="0" applyFill="1" applyBorder="1" applyAlignment="1">
      <alignment horizontal="center"/>
    </xf>
    <xf numFmtId="0" fontId="0" fillId="0" borderId="4" xfId="0" applyFill="1" applyBorder="1" applyAlignment="1"/>
    <xf numFmtId="0" fontId="0" fillId="0" borderId="0" xfId="0" applyAlignment="1"/>
    <xf numFmtId="0" fontId="13" fillId="0" borderId="0" xfId="0" applyFont="1"/>
    <xf numFmtId="0" fontId="13" fillId="4" borderId="1" xfId="0" applyFont="1" applyFill="1" applyBorder="1"/>
    <xf numFmtId="0" fontId="0" fillId="0" borderId="1" xfId="0" applyBorder="1"/>
    <xf numFmtId="0" fontId="13" fillId="0" borderId="1" xfId="0" applyFont="1" applyFill="1" applyBorder="1"/>
    <xf numFmtId="0" fontId="0" fillId="0" borderId="1" xfId="0" applyBorder="1" applyAlignment="1">
      <alignment horizontal="left" vertical="center"/>
    </xf>
    <xf numFmtId="0" fontId="0" fillId="0" borderId="1" xfId="0" applyBorder="1" applyAlignment="1">
      <alignment horizontal="left" vertical="center" wrapText="1"/>
    </xf>
    <xf numFmtId="0" fontId="0" fillId="5" borderId="1" xfId="0" applyFill="1" applyBorder="1" applyAlignment="1">
      <alignment horizontal="left" vertical="center"/>
    </xf>
    <xf numFmtId="0" fontId="24" fillId="0" borderId="1" xfId="0" applyFont="1" applyBorder="1" applyAlignment="1">
      <alignment horizontal="left" vertical="center" wrapText="1"/>
    </xf>
    <xf numFmtId="0" fontId="0" fillId="0" borderId="4" xfId="0" applyBorder="1" applyAlignment="1">
      <alignment horizontal="left" vertical="center" wrapText="1"/>
    </xf>
    <xf numFmtId="0" fontId="0" fillId="0" borderId="3" xfId="0" applyBorder="1" applyAlignment="1">
      <alignment horizontal="left" vertical="center"/>
    </xf>
    <xf numFmtId="0" fontId="0" fillId="0" borderId="6" xfId="0" applyBorder="1" applyAlignment="1">
      <alignment horizontal="left" vertical="center" wrapText="1"/>
    </xf>
    <xf numFmtId="0" fontId="13" fillId="5" borderId="4" xfId="0" applyFont="1" applyFill="1" applyBorder="1" applyAlignment="1">
      <alignment horizontal="left" vertical="center"/>
    </xf>
    <xf numFmtId="0" fontId="13" fillId="5" borderId="3" xfId="0" applyFont="1" applyFill="1" applyBorder="1" applyAlignment="1">
      <alignment horizontal="left" vertical="center"/>
    </xf>
    <xf numFmtId="0" fontId="13" fillId="5" borderId="6" xfId="0" applyFont="1" applyFill="1" applyBorder="1" applyAlignment="1">
      <alignment horizontal="left" vertical="center"/>
    </xf>
    <xf numFmtId="0" fontId="0" fillId="5" borderId="0" xfId="0" applyFill="1"/>
    <xf numFmtId="0" fontId="0" fillId="0" borderId="1" xfId="0" applyFill="1" applyBorder="1" applyAlignment="1">
      <alignment horizontal="left" vertical="center"/>
    </xf>
    <xf numFmtId="0" fontId="0" fillId="0" borderId="0" xfId="0" applyFont="1" applyAlignment="1">
      <alignment horizontal="left" vertical="center"/>
    </xf>
    <xf numFmtId="0" fontId="0" fillId="0" borderId="1" xfId="0" applyFont="1" applyFill="1" applyBorder="1" applyAlignment="1">
      <alignment horizontal="left" vertical="center"/>
    </xf>
    <xf numFmtId="0" fontId="0" fillId="0" borderId="12" xfId="0" applyFill="1" applyBorder="1" applyAlignment="1">
      <alignment horizontal="left" vertical="center"/>
    </xf>
    <xf numFmtId="49" fontId="0" fillId="0" borderId="1" xfId="0" applyNumberFormat="1" applyBorder="1" applyAlignment="1">
      <alignment horizontal="left" vertical="center"/>
    </xf>
    <xf numFmtId="0" fontId="13" fillId="0" borderId="1" xfId="0" applyFont="1" applyFill="1" applyBorder="1" applyAlignment="1">
      <alignment horizontal="left" vertical="center"/>
    </xf>
    <xf numFmtId="0" fontId="2" fillId="0" borderId="6" xfId="1" applyFont="1" applyFill="1" applyBorder="1" applyAlignment="1" applyProtection="1">
      <alignment horizontal="center" vertical="center" wrapText="1"/>
    </xf>
    <xf numFmtId="0" fontId="2" fillId="0" borderId="1" xfId="1" applyFont="1" applyFill="1" applyBorder="1" applyAlignment="1" applyProtection="1">
      <alignment horizontal="center" vertical="center" wrapText="1"/>
    </xf>
    <xf numFmtId="0" fontId="2" fillId="0" borderId="1" xfId="1" applyFont="1" applyFill="1" applyBorder="1" applyAlignment="1">
      <alignment horizontal="center" vertical="center" wrapText="1"/>
    </xf>
    <xf numFmtId="0" fontId="2" fillId="0" borderId="1" xfId="1" applyFont="1" applyFill="1" applyBorder="1" applyAlignment="1">
      <alignment wrapText="1"/>
    </xf>
    <xf numFmtId="0" fontId="2" fillId="0" borderId="1" xfId="1" applyFont="1" applyFill="1" applyBorder="1" applyAlignment="1" applyProtection="1">
      <alignment horizontal="center" vertical="center" wrapText="1"/>
      <protection locked="0"/>
    </xf>
    <xf numFmtId="0" fontId="2" fillId="0" borderId="4" xfId="1" applyFont="1" applyFill="1" applyBorder="1" applyAlignment="1" applyProtection="1">
      <alignment horizontal="center" vertical="center" wrapText="1"/>
      <protection locked="0"/>
    </xf>
    <xf numFmtId="0" fontId="2" fillId="0" borderId="6" xfId="1" applyFont="1" applyFill="1" applyBorder="1" applyAlignment="1" applyProtection="1">
      <alignment horizontal="center" vertical="center" wrapText="1"/>
      <protection locked="0"/>
    </xf>
    <xf numFmtId="2" fontId="2" fillId="0" borderId="1" xfId="1" applyNumberFormat="1" applyFont="1" applyFill="1" applyBorder="1" applyAlignment="1" applyProtection="1">
      <alignment horizontal="center" vertical="center" wrapText="1"/>
      <protection locked="0"/>
    </xf>
    <xf numFmtId="0" fontId="2" fillId="0" borderId="1" xfId="1" applyNumberFormat="1" applyFont="1" applyFill="1" applyBorder="1" applyAlignment="1" applyProtection="1">
      <alignment horizontal="center" vertical="center" wrapText="1"/>
      <protection locked="0"/>
    </xf>
    <xf numFmtId="11" fontId="2" fillId="0" borderId="1" xfId="1" applyNumberFormat="1" applyFont="1" applyFill="1" applyBorder="1" applyAlignment="1" applyProtection="1">
      <alignment horizontal="left" vertical="center" wrapText="1"/>
      <protection locked="0"/>
    </xf>
    <xf numFmtId="11" fontId="2" fillId="0" borderId="1" xfId="1" applyNumberFormat="1" applyFont="1" applyFill="1" applyBorder="1" applyAlignment="1" applyProtection="1">
      <alignment horizontal="center" vertical="center" wrapText="1"/>
      <protection locked="0"/>
    </xf>
    <xf numFmtId="0" fontId="2" fillId="0" borderId="1" xfId="1" applyFont="1" applyFill="1" applyBorder="1" applyAlignment="1">
      <alignment vertical="center"/>
    </xf>
    <xf numFmtId="0" fontId="2" fillId="0" borderId="1" xfId="1" applyFont="1" applyFill="1" applyBorder="1" applyAlignment="1" applyProtection="1">
      <alignment horizontal="left" vertical="center" wrapText="1"/>
      <protection locked="0"/>
    </xf>
    <xf numFmtId="0" fontId="2" fillId="0" borderId="6" xfId="1" applyFont="1" applyFill="1" applyBorder="1" applyAlignment="1" applyProtection="1">
      <alignment horizontal="left" vertical="center" wrapText="1"/>
      <protection locked="0"/>
    </xf>
    <xf numFmtId="0" fontId="2" fillId="0" borderId="1" xfId="1" applyNumberFormat="1" applyFont="1" applyFill="1" applyBorder="1" applyAlignment="1" applyProtection="1">
      <alignment horizontal="left" vertical="center" wrapText="1"/>
      <protection locked="0"/>
    </xf>
    <xf numFmtId="0" fontId="2" fillId="0" borderId="1" xfId="1" applyFont="1" applyFill="1" applyBorder="1" applyAlignment="1">
      <alignment vertical="center" wrapText="1"/>
    </xf>
    <xf numFmtId="0" fontId="2" fillId="0" borderId="1" xfId="1" quotePrefix="1" applyFont="1" applyFill="1" applyBorder="1" applyAlignment="1">
      <alignment vertical="center" wrapText="1"/>
    </xf>
    <xf numFmtId="0" fontId="2" fillId="0" borderId="1" xfId="1" applyFont="1" applyFill="1" applyBorder="1" applyAlignment="1">
      <alignment horizontal="left" vertical="center" wrapText="1"/>
    </xf>
    <xf numFmtId="0" fontId="2" fillId="0" borderId="1" xfId="1" quotePrefix="1" applyFont="1" applyFill="1" applyBorder="1" applyAlignment="1">
      <alignment horizontal="left" vertical="center" wrapText="1"/>
    </xf>
    <xf numFmtId="0" fontId="2" fillId="0" borderId="1" xfId="1" quotePrefix="1" applyFont="1" applyFill="1" applyBorder="1" applyAlignment="1">
      <alignment vertical="center"/>
    </xf>
    <xf numFmtId="2" fontId="2" fillId="0" borderId="1" xfId="1" applyNumberFormat="1" applyFont="1" applyFill="1" applyBorder="1" applyAlignment="1">
      <alignment horizontal="center" vertical="center" wrapText="1"/>
    </xf>
    <xf numFmtId="0" fontId="2" fillId="0" borderId="1" xfId="1" applyNumberFormat="1" applyFont="1" applyFill="1" applyBorder="1" applyAlignment="1">
      <alignment horizontal="center" vertical="center" wrapText="1"/>
    </xf>
    <xf numFmtId="11" fontId="2" fillId="0" borderId="1" xfId="1" applyNumberFormat="1" applyFont="1" applyFill="1" applyBorder="1" applyAlignment="1">
      <alignment horizontal="left" vertical="center" wrapText="1"/>
    </xf>
    <xf numFmtId="0" fontId="2" fillId="0" borderId="1" xfId="1" applyNumberFormat="1" applyFont="1" applyFill="1" applyBorder="1" applyAlignment="1">
      <alignment horizontal="left" vertical="center" wrapText="1"/>
    </xf>
    <xf numFmtId="0" fontId="2" fillId="0" borderId="1" xfId="1" quotePrefix="1" applyFont="1" applyFill="1" applyBorder="1" applyAlignment="1" applyProtection="1">
      <alignment horizontal="left" vertical="center" wrapText="1"/>
      <protection locked="0"/>
    </xf>
    <xf numFmtId="0" fontId="2" fillId="0" borderId="1" xfId="1" quotePrefix="1" applyNumberFormat="1" applyFont="1" applyFill="1" applyBorder="1" applyAlignment="1" applyProtection="1">
      <alignment horizontal="left" vertical="center" wrapText="1"/>
      <protection locked="0"/>
    </xf>
    <xf numFmtId="0" fontId="2" fillId="0" borderId="4" xfId="1" applyFont="1" applyFill="1" applyBorder="1" applyAlignment="1">
      <alignment horizontal="center" vertical="center" wrapText="1"/>
    </xf>
    <xf numFmtId="2" fontId="2" fillId="0" borderId="6" xfId="1" applyNumberFormat="1" applyFont="1" applyFill="1" applyBorder="1" applyAlignment="1" applyProtection="1">
      <alignment horizontal="center" vertical="center" wrapText="1"/>
      <protection locked="0"/>
    </xf>
    <xf numFmtId="11" fontId="2" fillId="0" borderId="1" xfId="1" applyNumberFormat="1" applyFont="1" applyFill="1" applyBorder="1" applyAlignment="1">
      <alignment horizontal="center" vertical="center" wrapText="1"/>
    </xf>
    <xf numFmtId="0" fontId="2" fillId="0" borderId="6" xfId="1" applyFont="1" applyFill="1" applyBorder="1" applyAlignment="1">
      <alignment horizontal="left" vertical="center" wrapText="1"/>
    </xf>
    <xf numFmtId="0" fontId="2" fillId="0" borderId="6" xfId="1" applyFont="1" applyFill="1" applyBorder="1" applyAlignment="1">
      <alignment horizontal="center" vertical="center" wrapText="1"/>
    </xf>
    <xf numFmtId="0" fontId="2" fillId="0" borderId="1" xfId="1" applyFont="1" applyFill="1" applyBorder="1" applyAlignment="1" applyProtection="1">
      <alignment vertical="center" wrapText="1"/>
      <protection locked="0"/>
    </xf>
    <xf numFmtId="0" fontId="2" fillId="0" borderId="6" xfId="1" applyFont="1" applyFill="1" applyBorder="1" applyAlignment="1" applyProtection="1">
      <alignment vertical="center" wrapText="1"/>
      <protection locked="0"/>
    </xf>
    <xf numFmtId="0" fontId="2" fillId="0" borderId="1" xfId="1" applyNumberFormat="1" applyFont="1" applyFill="1" applyBorder="1" applyAlignment="1" applyProtection="1">
      <alignment vertical="center" wrapText="1"/>
      <protection locked="0"/>
    </xf>
    <xf numFmtId="0" fontId="2" fillId="0" borderId="1" xfId="1" quotePrefix="1" applyFont="1" applyFill="1" applyBorder="1" applyAlignment="1" applyProtection="1">
      <alignment horizontal="center" vertical="center" wrapText="1"/>
      <protection locked="0"/>
    </xf>
    <xf numFmtId="0" fontId="2" fillId="0" borderId="1" xfId="1" applyNumberFormat="1" applyFont="1" applyFill="1" applyBorder="1" applyAlignment="1">
      <alignment vertical="center" wrapText="1"/>
    </xf>
    <xf numFmtId="168" fontId="2" fillId="0" borderId="1" xfId="1" applyNumberFormat="1" applyFont="1" applyFill="1" applyBorder="1" applyAlignment="1" applyProtection="1">
      <alignment horizontal="center" vertical="center" wrapText="1"/>
      <protection locked="0"/>
    </xf>
    <xf numFmtId="166" fontId="2" fillId="0" borderId="1" xfId="1" applyNumberFormat="1" applyFont="1" applyFill="1" applyBorder="1" applyAlignment="1" applyProtection="1">
      <alignment horizontal="center" vertical="center" wrapText="1"/>
      <protection locked="0"/>
    </xf>
    <xf numFmtId="49" fontId="2" fillId="0" borderId="4" xfId="1" applyNumberFormat="1" applyFont="1" applyFill="1" applyBorder="1" applyAlignment="1">
      <alignment horizontal="center" vertical="center" wrapText="1"/>
    </xf>
    <xf numFmtId="0" fontId="2" fillId="0" borderId="6" xfId="1" applyFont="1" applyFill="1" applyBorder="1" applyAlignment="1">
      <alignment vertical="center" wrapText="1"/>
    </xf>
    <xf numFmtId="11" fontId="2" fillId="0" borderId="1" xfId="1" applyNumberFormat="1" applyFont="1" applyFill="1" applyBorder="1" applyAlignment="1" applyProtection="1">
      <alignment vertical="center" wrapText="1"/>
      <protection locked="0"/>
    </xf>
    <xf numFmtId="0" fontId="2" fillId="0" borderId="6" xfId="1" applyNumberFormat="1" applyFont="1" applyFill="1" applyBorder="1" applyAlignment="1" applyProtection="1">
      <alignment horizontal="left" vertical="center" wrapText="1"/>
      <protection locked="0"/>
    </xf>
    <xf numFmtId="167" fontId="2" fillId="0" borderId="6" xfId="1" applyNumberFormat="1" applyFont="1" applyFill="1" applyBorder="1" applyAlignment="1" applyProtection="1">
      <alignment horizontal="center" vertical="center" wrapText="1"/>
      <protection locked="0"/>
    </xf>
    <xf numFmtId="167" fontId="2" fillId="0" borderId="1" xfId="1" applyNumberFormat="1" applyFont="1" applyFill="1" applyBorder="1" applyAlignment="1" applyProtection="1">
      <alignment horizontal="center" vertical="center" wrapText="1"/>
      <protection locked="0"/>
    </xf>
    <xf numFmtId="0" fontId="2" fillId="0" borderId="6" xfId="1" quotePrefix="1" applyFont="1" applyFill="1" applyBorder="1" applyAlignment="1" applyProtection="1">
      <alignment horizontal="center" vertical="center" wrapText="1"/>
      <protection locked="0"/>
    </xf>
    <xf numFmtId="0" fontId="2" fillId="0" borderId="1" xfId="1" applyFont="1" applyFill="1" applyBorder="1"/>
    <xf numFmtId="11" fontId="2" fillId="0" borderId="1" xfId="1" applyNumberFormat="1" applyFont="1" applyFill="1" applyBorder="1"/>
    <xf numFmtId="0" fontId="2" fillId="0" borderId="1" xfId="1" applyFont="1" applyBorder="1"/>
    <xf numFmtId="0" fontId="2" fillId="0" borderId="0" xfId="1" applyFont="1" applyFill="1"/>
    <xf numFmtId="0" fontId="2" fillId="0" borderId="0" xfId="1" applyFont="1"/>
    <xf numFmtId="0" fontId="0" fillId="0" borderId="0" xfId="0" applyAlignment="1">
      <alignment wrapText="1"/>
    </xf>
    <xf numFmtId="0" fontId="2" fillId="0" borderId="0" xfId="1" applyFont="1" applyFill="1" applyBorder="1"/>
    <xf numFmtId="0" fontId="2" fillId="0" borderId="9" xfId="1" applyFont="1" applyFill="1" applyBorder="1"/>
    <xf numFmtId="14" fontId="4" fillId="0" borderId="1" xfId="0" applyNumberFormat="1" applyFont="1" applyFill="1" applyBorder="1" applyAlignment="1">
      <alignment horizontal="center" vertical="center" wrapText="1"/>
    </xf>
    <xf numFmtId="0" fontId="11" fillId="7" borderId="1" xfId="1" applyFont="1" applyFill="1" applyBorder="1" applyAlignment="1" applyProtection="1">
      <alignment horizontal="center" vertical="center" wrapText="1"/>
    </xf>
    <xf numFmtId="0" fontId="32" fillId="0" borderId="0" xfId="0" applyFont="1" applyAlignment="1">
      <alignment horizontal="justify"/>
    </xf>
    <xf numFmtId="0" fontId="0" fillId="0" borderId="0" xfId="0" applyNumberFormat="1" applyAlignment="1">
      <alignment wrapText="1"/>
    </xf>
    <xf numFmtId="0" fontId="0" fillId="0" borderId="0" xfId="0"/>
    <xf numFmtId="0" fontId="0" fillId="0" borderId="1" xfId="0" applyBorder="1" applyAlignment="1">
      <alignment horizontal="center"/>
    </xf>
    <xf numFmtId="0" fontId="0" fillId="0" borderId="1" xfId="0" applyBorder="1"/>
    <xf numFmtId="0" fontId="12" fillId="0" borderId="1" xfId="0" applyFont="1" applyBorder="1" applyAlignment="1">
      <alignment horizontal="center"/>
    </xf>
    <xf numFmtId="0" fontId="0" fillId="0" borderId="0" xfId="0"/>
    <xf numFmtId="1" fontId="2" fillId="0" borderId="1" xfId="1" applyNumberFormat="1" applyBorder="1" applyAlignment="1">
      <alignment horizontal="center"/>
    </xf>
    <xf numFmtId="2" fontId="2" fillId="0" borderId="1" xfId="1" applyNumberFormat="1" applyBorder="1" applyAlignment="1">
      <alignment horizontal="center"/>
    </xf>
    <xf numFmtId="0" fontId="0" fillId="0" borderId="0" xfId="0"/>
    <xf numFmtId="0" fontId="0" fillId="0" borderId="0" xfId="0" applyAlignment="1">
      <alignment horizontal="center"/>
    </xf>
    <xf numFmtId="0" fontId="0" fillId="0" borderId="1" xfId="0" applyFill="1" applyBorder="1" applyAlignment="1">
      <alignment horizontal="center"/>
    </xf>
    <xf numFmtId="0" fontId="0" fillId="0" borderId="1" xfId="0" applyFill="1" applyBorder="1"/>
    <xf numFmtId="0" fontId="0" fillId="0" borderId="0" xfId="0" applyFont="1" applyFill="1" applyBorder="1" applyAlignment="1">
      <alignment horizontal="center"/>
    </xf>
    <xf numFmtId="11" fontId="0" fillId="0" borderId="1" xfId="0" applyNumberFormat="1" applyFill="1" applyBorder="1" applyAlignment="1">
      <alignment horizontal="center"/>
    </xf>
    <xf numFmtId="0" fontId="0" fillId="0" borderId="0" xfId="0" applyBorder="1"/>
    <xf numFmtId="0" fontId="0" fillId="0" borderId="1" xfId="0" applyFont="1" applyFill="1" applyBorder="1" applyAlignment="1">
      <alignment horizontal="center" vertical="center"/>
    </xf>
    <xf numFmtId="0" fontId="12" fillId="0" borderId="1" xfId="0" applyFont="1" applyFill="1" applyBorder="1" applyAlignment="1">
      <alignment horizontal="center"/>
    </xf>
    <xf numFmtId="0" fontId="12" fillId="0" borderId="1" xfId="0" applyFont="1" applyBorder="1" applyAlignment="1">
      <alignment horizontal="center"/>
    </xf>
    <xf numFmtId="1" fontId="0" fillId="0" borderId="1" xfId="0" applyNumberFormat="1" applyFill="1" applyBorder="1" applyAlignment="1">
      <alignment horizontal="center"/>
    </xf>
    <xf numFmtId="0" fontId="0" fillId="0" borderId="1" xfId="0" applyFill="1" applyBorder="1" applyAlignment="1">
      <alignment horizontal="center" vertical="center"/>
    </xf>
    <xf numFmtId="0" fontId="0" fillId="0" borderId="0" xfId="0" applyFill="1"/>
    <xf numFmtId="11" fontId="12" fillId="0" borderId="1" xfId="0" applyNumberFormat="1" applyFont="1" applyFill="1" applyBorder="1" applyAlignment="1">
      <alignment horizontal="left" wrapText="1"/>
    </xf>
    <xf numFmtId="0" fontId="0" fillId="0" borderId="0" xfId="0"/>
    <xf numFmtId="0" fontId="0" fillId="0" borderId="0" xfId="0"/>
    <xf numFmtId="0" fontId="0" fillId="0" borderId="0" xfId="0"/>
    <xf numFmtId="0" fontId="0" fillId="0" borderId="0" xfId="0"/>
    <xf numFmtId="0" fontId="15" fillId="0" borderId="1" xfId="0" applyFont="1" applyFill="1" applyBorder="1" applyAlignment="1">
      <alignment horizontal="center" vertical="center"/>
    </xf>
    <xf numFmtId="166" fontId="12" fillId="13" borderId="1" xfId="0" applyNumberFormat="1" applyFont="1" applyFill="1" applyBorder="1" applyAlignment="1">
      <alignment horizontal="center"/>
    </xf>
    <xf numFmtId="167" fontId="12" fillId="13" borderId="1" xfId="0" applyNumberFormat="1" applyFont="1" applyFill="1" applyBorder="1" applyAlignment="1">
      <alignment horizontal="center"/>
    </xf>
    <xf numFmtId="0" fontId="12" fillId="13" borderId="1" xfId="0" applyFont="1" applyFill="1" applyBorder="1" applyAlignment="1">
      <alignment horizontal="center"/>
    </xf>
    <xf numFmtId="2" fontId="12" fillId="13" borderId="1" xfId="0" applyNumberFormat="1" applyFont="1" applyFill="1" applyBorder="1" applyAlignment="1">
      <alignment horizontal="center" vertical="center"/>
    </xf>
    <xf numFmtId="1" fontId="12" fillId="13" borderId="1" xfId="0" applyNumberFormat="1" applyFont="1" applyFill="1" applyBorder="1" applyAlignment="1">
      <alignment horizontal="center"/>
    </xf>
    <xf numFmtId="2" fontId="12" fillId="13" borderId="1" xfId="0" applyNumberFormat="1" applyFont="1" applyFill="1" applyBorder="1" applyAlignment="1">
      <alignment horizontal="center"/>
    </xf>
    <xf numFmtId="0" fontId="33" fillId="4" borderId="0" xfId="0" applyFont="1" applyFill="1" applyAlignment="1">
      <alignment horizontal="left"/>
    </xf>
    <xf numFmtId="0" fontId="0" fillId="0" borderId="0" xfId="0"/>
    <xf numFmtId="0" fontId="0" fillId="0" borderId="1" xfId="0" applyBorder="1"/>
    <xf numFmtId="0" fontId="0" fillId="0" borderId="1" xfId="0" applyBorder="1" applyAlignment="1">
      <alignment horizontal="center"/>
    </xf>
    <xf numFmtId="0" fontId="15" fillId="0" borderId="1" xfId="0" applyFont="1" applyFill="1" applyBorder="1" applyAlignment="1">
      <alignment vertical="center"/>
    </xf>
    <xf numFmtId="166" fontId="12" fillId="0" borderId="1" xfId="0" applyNumberFormat="1" applyFont="1" applyFill="1" applyBorder="1" applyAlignment="1">
      <alignment horizontal="center"/>
    </xf>
    <xf numFmtId="1" fontId="12" fillId="0" borderId="1" xfId="0" applyNumberFormat="1" applyFont="1" applyFill="1" applyBorder="1" applyAlignment="1">
      <alignment horizontal="center"/>
    </xf>
    <xf numFmtId="167" fontId="12" fillId="0" borderId="1" xfId="0" applyNumberFormat="1" applyFont="1" applyFill="1" applyBorder="1" applyAlignment="1">
      <alignment horizontal="center"/>
    </xf>
    <xf numFmtId="168" fontId="12" fillId="0" borderId="1" xfId="0" applyNumberFormat="1" applyFont="1" applyFill="1" applyBorder="1" applyAlignment="1">
      <alignment horizontal="center"/>
    </xf>
    <xf numFmtId="11" fontId="12" fillId="0" borderId="1" xfId="0" applyNumberFormat="1" applyFont="1" applyFill="1" applyBorder="1" applyAlignment="1" applyProtection="1">
      <alignment horizontal="center" vertical="center" wrapText="1"/>
      <protection hidden="1"/>
    </xf>
    <xf numFmtId="0" fontId="12" fillId="0" borderId="1" xfId="0" applyFont="1" applyFill="1" applyBorder="1" applyAlignment="1" applyProtection="1">
      <alignment horizontal="center" vertical="center" wrapText="1"/>
      <protection hidden="1"/>
    </xf>
    <xf numFmtId="2" fontId="20" fillId="0" borderId="1" xfId="0" applyNumberFormat="1" applyFont="1" applyFill="1" applyBorder="1" applyAlignment="1">
      <alignment horizontal="left"/>
    </xf>
    <xf numFmtId="1" fontId="2" fillId="0" borderId="1" xfId="1" applyNumberFormat="1" applyFill="1" applyBorder="1" applyAlignment="1">
      <alignment horizontal="center"/>
    </xf>
    <xf numFmtId="2" fontId="2" fillId="0" borderId="1" xfId="1" applyNumberFormat="1" applyFill="1" applyBorder="1" applyAlignment="1">
      <alignment horizontal="center"/>
    </xf>
    <xf numFmtId="0" fontId="12" fillId="0" borderId="1" xfId="0" applyFont="1" applyFill="1" applyBorder="1" applyAlignment="1">
      <alignment horizontal="left" vertical="center" wrapText="1"/>
    </xf>
    <xf numFmtId="0" fontId="12" fillId="0" borderId="3" xfId="0" applyFont="1" applyFill="1" applyBorder="1" applyAlignment="1">
      <alignment horizontal="center"/>
    </xf>
    <xf numFmtId="0" fontId="15" fillId="4" borderId="1" xfId="0" applyFont="1" applyFill="1" applyBorder="1" applyAlignment="1">
      <alignment horizontal="center" vertical="center" wrapText="1"/>
    </xf>
    <xf numFmtId="0" fontId="15" fillId="10" borderId="1" xfId="0" applyFont="1" applyFill="1" applyBorder="1" applyAlignment="1">
      <alignment horizontal="center" vertical="center" wrapText="1"/>
    </xf>
    <xf numFmtId="0" fontId="15" fillId="8" borderId="1" xfId="0" applyFont="1" applyFill="1" applyBorder="1" applyAlignment="1">
      <alignment horizontal="center" vertical="center" wrapText="1"/>
    </xf>
    <xf numFmtId="0" fontId="15" fillId="11" borderId="1" xfId="0" applyFont="1" applyFill="1" applyBorder="1" applyAlignment="1">
      <alignment horizontal="center" vertical="center" wrapText="1"/>
    </xf>
    <xf numFmtId="0" fontId="15" fillId="9" borderId="1" xfId="0" applyFont="1" applyFill="1" applyBorder="1" applyAlignment="1">
      <alignment horizontal="center" vertical="center" wrapText="1"/>
    </xf>
    <xf numFmtId="0" fontId="13" fillId="12" borderId="1" xfId="0" applyFont="1" applyFill="1" applyBorder="1" applyAlignment="1">
      <alignment horizontal="center" vertical="center"/>
    </xf>
    <xf numFmtId="0" fontId="0" fillId="0" borderId="1" xfId="0" applyBorder="1" applyAlignment="1">
      <alignment horizontal="center"/>
    </xf>
    <xf numFmtId="0" fontId="2" fillId="13" borderId="1" xfId="1" applyFont="1" applyFill="1" applyBorder="1" applyAlignment="1">
      <alignment horizontal="center" vertical="center" wrapText="1"/>
    </xf>
    <xf numFmtId="0" fontId="2" fillId="13" borderId="1" xfId="1" applyFont="1" applyFill="1" applyBorder="1" applyAlignment="1" applyProtection="1">
      <alignment horizontal="center" vertical="center" wrapText="1"/>
      <protection locked="0"/>
    </xf>
    <xf numFmtId="0" fontId="2" fillId="13" borderId="6" xfId="1" applyFont="1" applyFill="1" applyBorder="1" applyAlignment="1" applyProtection="1">
      <alignment horizontal="center" vertical="center" wrapText="1"/>
      <protection locked="0"/>
    </xf>
    <xf numFmtId="2" fontId="2" fillId="13" borderId="1" xfId="1" applyNumberFormat="1" applyFont="1" applyFill="1" applyBorder="1" applyAlignment="1" applyProtection="1">
      <alignment horizontal="center" vertical="center" wrapText="1"/>
      <protection locked="0"/>
    </xf>
    <xf numFmtId="0" fontId="2" fillId="13" borderId="1" xfId="1" applyNumberFormat="1" applyFont="1" applyFill="1" applyBorder="1" applyAlignment="1" applyProtection="1">
      <alignment horizontal="center" vertical="center" wrapText="1"/>
      <protection locked="0"/>
    </xf>
    <xf numFmtId="11" fontId="2" fillId="13" borderId="1" xfId="1" applyNumberFormat="1" applyFont="1" applyFill="1" applyBorder="1" applyAlignment="1" applyProtection="1">
      <alignment horizontal="left" vertical="center" wrapText="1"/>
      <protection locked="0"/>
    </xf>
    <xf numFmtId="11" fontId="2" fillId="13" borderId="1" xfId="1" applyNumberFormat="1" applyFont="1" applyFill="1" applyBorder="1" applyAlignment="1" applyProtection="1">
      <alignment horizontal="center" vertical="center" wrapText="1"/>
      <protection locked="0"/>
    </xf>
    <xf numFmtId="0" fontId="2" fillId="13" borderId="1" xfId="1" applyFont="1" applyFill="1" applyBorder="1" applyAlignment="1" applyProtection="1">
      <alignment horizontal="left" vertical="center" wrapText="1"/>
      <protection locked="0"/>
    </xf>
    <xf numFmtId="0" fontId="2" fillId="13" borderId="6" xfId="1" applyFont="1" applyFill="1" applyBorder="1" applyAlignment="1" applyProtection="1">
      <alignment horizontal="left" vertical="center" wrapText="1"/>
      <protection locked="0"/>
    </xf>
    <xf numFmtId="0" fontId="2" fillId="13" borderId="1" xfId="1" applyNumberFormat="1" applyFont="1" applyFill="1" applyBorder="1" applyAlignment="1" applyProtection="1">
      <alignment horizontal="left" vertical="center" wrapText="1"/>
      <protection locked="0"/>
    </xf>
    <xf numFmtId="0" fontId="2" fillId="13" borderId="1" xfId="1" applyFont="1" applyFill="1" applyBorder="1" applyAlignment="1">
      <alignment vertical="center" wrapText="1"/>
    </xf>
    <xf numFmtId="0" fontId="2" fillId="13" borderId="1" xfId="1" applyFont="1" applyFill="1" applyBorder="1" applyAlignment="1">
      <alignment horizontal="left" vertical="center" wrapText="1"/>
    </xf>
    <xf numFmtId="2" fontId="2" fillId="13" borderId="1" xfId="1" applyNumberFormat="1" applyFont="1" applyFill="1" applyBorder="1" applyAlignment="1">
      <alignment horizontal="center" vertical="center" wrapText="1"/>
    </xf>
    <xf numFmtId="0" fontId="2" fillId="13" borderId="1" xfId="1" applyNumberFormat="1" applyFont="1" applyFill="1" applyBorder="1" applyAlignment="1">
      <alignment horizontal="center" vertical="center" wrapText="1"/>
    </xf>
    <xf numFmtId="11" fontId="2" fillId="13" borderId="1" xfId="1" applyNumberFormat="1" applyFont="1" applyFill="1" applyBorder="1" applyAlignment="1">
      <alignment horizontal="left" vertical="center" wrapText="1"/>
    </xf>
    <xf numFmtId="0" fontId="2" fillId="13" borderId="1" xfId="1" applyNumberFormat="1" applyFont="1" applyFill="1" applyBorder="1" applyAlignment="1">
      <alignment horizontal="left" vertical="center" wrapText="1"/>
    </xf>
    <xf numFmtId="0" fontId="2" fillId="13" borderId="1" xfId="1" quotePrefix="1" applyFont="1" applyFill="1" applyBorder="1" applyAlignment="1" applyProtection="1">
      <alignment horizontal="left" vertical="center" wrapText="1"/>
      <protection locked="0"/>
    </xf>
    <xf numFmtId="0" fontId="2" fillId="13" borderId="6" xfId="1" applyFont="1" applyFill="1" applyBorder="1" applyAlignment="1">
      <alignment horizontal="center" vertical="center" wrapText="1"/>
    </xf>
    <xf numFmtId="11" fontId="2" fillId="13" borderId="1" xfId="1" applyNumberFormat="1" applyFont="1" applyFill="1" applyBorder="1" applyAlignment="1">
      <alignment horizontal="center" vertical="center" wrapText="1"/>
    </xf>
    <xf numFmtId="0" fontId="2" fillId="13" borderId="6" xfId="1" applyFont="1" applyFill="1" applyBorder="1" applyAlignment="1" applyProtection="1">
      <alignment vertical="center" wrapText="1"/>
      <protection locked="0"/>
    </xf>
    <xf numFmtId="0" fontId="2" fillId="13" borderId="1" xfId="1" applyFont="1" applyFill="1" applyBorder="1" applyAlignment="1" applyProtection="1">
      <alignment vertical="center" wrapText="1"/>
      <protection locked="0"/>
    </xf>
    <xf numFmtId="0" fontId="2" fillId="13" borderId="1" xfId="1" applyNumberFormat="1" applyFont="1" applyFill="1" applyBorder="1" applyAlignment="1" applyProtection="1">
      <alignment vertical="center" wrapText="1"/>
      <protection locked="0"/>
    </xf>
    <xf numFmtId="11" fontId="2" fillId="13" borderId="1" xfId="1" applyNumberFormat="1" applyFont="1" applyFill="1" applyBorder="1" applyAlignment="1">
      <alignment vertical="center" wrapText="1"/>
    </xf>
    <xf numFmtId="2" fontId="2" fillId="13" borderId="6" xfId="1" applyNumberFormat="1" applyFont="1" applyFill="1" applyBorder="1" applyAlignment="1" applyProtection="1">
      <alignment horizontal="center" vertical="center" wrapText="1"/>
      <protection locked="0"/>
    </xf>
    <xf numFmtId="0" fontId="2" fillId="13" borderId="6" xfId="1" applyFont="1" applyFill="1" applyBorder="1" applyAlignment="1">
      <alignment horizontal="left" vertical="center" wrapText="1"/>
    </xf>
    <xf numFmtId="0" fontId="2" fillId="13" borderId="1" xfId="1" quotePrefix="1" applyNumberFormat="1" applyFont="1" applyFill="1" applyBorder="1" applyAlignment="1" applyProtection="1">
      <alignment horizontal="left" vertical="center" wrapText="1"/>
      <protection locked="0"/>
    </xf>
    <xf numFmtId="167" fontId="2" fillId="13" borderId="6" xfId="1" applyNumberFormat="1" applyFont="1" applyFill="1" applyBorder="1" applyAlignment="1" applyProtection="1">
      <alignment horizontal="center" vertical="center" wrapText="1"/>
      <protection locked="0"/>
    </xf>
    <xf numFmtId="49" fontId="0" fillId="0" borderId="0" xfId="0" applyNumberFormat="1"/>
    <xf numFmtId="0" fontId="4" fillId="0" borderId="0" xfId="0" applyFont="1" applyFill="1" applyAlignment="1">
      <alignment horizontal="center" vertical="center" wrapText="1"/>
    </xf>
    <xf numFmtId="0" fontId="4" fillId="0" borderId="1" xfId="0" applyFont="1" applyBorder="1" applyAlignment="1">
      <alignment horizontal="center" vertical="center" wrapText="1"/>
    </xf>
    <xf numFmtId="0" fontId="0" fillId="0" borderId="0" xfId="0" applyFont="1" applyAlignment="1">
      <alignment horizontal="center"/>
    </xf>
    <xf numFmtId="0" fontId="0" fillId="0" borderId="4" xfId="0" applyFont="1" applyFill="1" applyBorder="1" applyAlignment="1">
      <alignment horizontal="center"/>
    </xf>
    <xf numFmtId="0" fontId="12" fillId="0" borderId="1" xfId="0" applyFont="1" applyFill="1" applyBorder="1" applyAlignment="1">
      <alignment horizontal="center" vertical="center" wrapText="1"/>
    </xf>
    <xf numFmtId="0" fontId="12" fillId="0" borderId="1" xfId="0" applyFont="1" applyFill="1" applyBorder="1" applyAlignment="1" applyProtection="1">
      <alignment horizontal="center" vertical="center" wrapText="1"/>
      <protection locked="0"/>
    </xf>
    <xf numFmtId="0" fontId="12" fillId="0" borderId="0" xfId="0" applyFont="1" applyFill="1" applyAlignment="1">
      <alignment horizontal="center" vertical="center" wrapText="1"/>
    </xf>
    <xf numFmtId="0" fontId="12" fillId="0" borderId="3" xfId="0" applyFont="1" applyFill="1" applyBorder="1" applyAlignment="1">
      <alignment horizontal="center" vertical="center" wrapText="1"/>
    </xf>
    <xf numFmtId="0" fontId="12" fillId="0" borderId="3" xfId="0" applyFont="1" applyFill="1" applyBorder="1" applyAlignment="1">
      <alignment horizontal="center" wrapText="1"/>
    </xf>
    <xf numFmtId="0" fontId="0" fillId="0" borderId="1" xfId="0" applyFont="1" applyBorder="1" applyAlignment="1">
      <alignment horizontal="center" wrapText="1"/>
    </xf>
    <xf numFmtId="0" fontId="13" fillId="4" borderId="1" xfId="0" applyFont="1" applyFill="1" applyBorder="1" applyAlignment="1">
      <alignment horizontal="left" vertical="center"/>
    </xf>
    <xf numFmtId="0" fontId="12" fillId="0" borderId="0" xfId="0" applyFont="1" applyFill="1" applyAlignment="1">
      <alignment horizontal="left" vertical="center" wrapText="1"/>
    </xf>
    <xf numFmtId="0" fontId="0" fillId="0" borderId="0" xfId="0" applyFont="1" applyAlignment="1">
      <alignment horizontal="left"/>
    </xf>
    <xf numFmtId="11" fontId="30" fillId="13" borderId="1" xfId="0" applyNumberFormat="1" applyFont="1" applyFill="1" applyBorder="1" applyAlignment="1" applyProtection="1">
      <alignment horizontal="center" vertical="center" wrapText="1"/>
      <protection locked="0"/>
    </xf>
    <xf numFmtId="0" fontId="2" fillId="13" borderId="1" xfId="1" applyFont="1" applyFill="1" applyBorder="1" applyAlignment="1">
      <alignment wrapText="1"/>
    </xf>
    <xf numFmtId="11" fontId="2" fillId="13" borderId="1" xfId="1" applyNumberFormat="1" applyFont="1" applyFill="1" applyBorder="1"/>
    <xf numFmtId="11" fontId="30" fillId="13" borderId="11" xfId="0" applyNumberFormat="1" applyFont="1" applyFill="1" applyBorder="1" applyAlignment="1" applyProtection="1">
      <alignment horizontal="center" vertical="center" wrapText="1"/>
      <protection locked="0"/>
    </xf>
    <xf numFmtId="0" fontId="30" fillId="13" borderId="1" xfId="0" applyNumberFormat="1" applyFont="1" applyFill="1" applyBorder="1" applyAlignment="1" applyProtection="1">
      <alignment horizontal="left" vertical="center" wrapText="1"/>
      <protection locked="0"/>
    </xf>
    <xf numFmtId="0" fontId="30" fillId="13" borderId="1" xfId="1" applyNumberFormat="1" applyFont="1" applyFill="1" applyBorder="1" applyAlignment="1" applyProtection="1">
      <alignment horizontal="left" vertical="center" wrapText="1"/>
      <protection locked="0"/>
    </xf>
    <xf numFmtId="0" fontId="30" fillId="13" borderId="1" xfId="0" applyFont="1" applyFill="1" applyBorder="1" applyAlignment="1" applyProtection="1">
      <alignment horizontal="left" vertical="center" wrapText="1"/>
      <protection locked="0"/>
    </xf>
    <xf numFmtId="0" fontId="30" fillId="13" borderId="1" xfId="0" applyFont="1" applyFill="1" applyBorder="1" applyAlignment="1">
      <alignment vertical="center"/>
    </xf>
    <xf numFmtId="0" fontId="2" fillId="13" borderId="1" xfId="1" applyFont="1" applyFill="1" applyBorder="1"/>
    <xf numFmtId="165" fontId="12" fillId="13" borderId="1" xfId="0" applyNumberFormat="1" applyFont="1" applyFill="1" applyBorder="1" applyAlignment="1">
      <alignment horizontal="center"/>
    </xf>
    <xf numFmtId="0" fontId="0" fillId="13" borderId="1" xfId="0" applyFont="1" applyFill="1" applyBorder="1" applyAlignment="1">
      <alignment horizontal="center"/>
    </xf>
    <xf numFmtId="0" fontId="12" fillId="13" borderId="1" xfId="0" applyFont="1" applyFill="1" applyBorder="1"/>
    <xf numFmtId="0" fontId="0" fillId="0" borderId="0" xfId="0"/>
    <xf numFmtId="0" fontId="0" fillId="0" borderId="0" xfId="0"/>
    <xf numFmtId="0" fontId="0" fillId="0" borderId="1" xfId="0" applyFont="1" applyFill="1" applyBorder="1" applyAlignment="1">
      <alignment horizontal="left" wrapText="1"/>
    </xf>
    <xf numFmtId="0" fontId="0" fillId="0" borderId="1" xfId="0" applyFill="1" applyBorder="1" applyAlignment="1">
      <alignment vertical="center" wrapText="1"/>
    </xf>
    <xf numFmtId="0" fontId="0" fillId="0" borderId="1" xfId="0" applyFill="1" applyBorder="1" applyAlignment="1">
      <alignment horizontal="center" vertical="center" wrapText="1"/>
    </xf>
    <xf numFmtId="0" fontId="0" fillId="0" borderId="1" xfId="0" applyFill="1" applyBorder="1" applyAlignment="1">
      <alignment wrapText="1"/>
    </xf>
    <xf numFmtId="0" fontId="0" fillId="0" borderId="1" xfId="0" applyFont="1" applyFill="1" applyBorder="1" applyAlignment="1">
      <alignment horizontal="center" wrapText="1"/>
    </xf>
    <xf numFmtId="0" fontId="2" fillId="0" borderId="1" xfId="1" applyFont="1" applyBorder="1" applyAlignment="1">
      <alignment horizontal="center"/>
    </xf>
    <xf numFmtId="0" fontId="2" fillId="0" borderId="1" xfId="1" applyFont="1" applyFill="1" applyBorder="1" applyAlignment="1">
      <alignment horizontal="center" wrapText="1"/>
    </xf>
    <xf numFmtId="0" fontId="11" fillId="4" borderId="0" xfId="1" applyFont="1" applyFill="1"/>
    <xf numFmtId="0" fontId="8" fillId="0" borderId="0" xfId="1" applyFont="1" applyBorder="1" applyAlignment="1">
      <alignment horizontal="center"/>
    </xf>
    <xf numFmtId="0" fontId="2" fillId="0" borderId="0" xfId="1" applyFont="1" applyBorder="1" applyAlignment="1">
      <alignment horizontal="center"/>
    </xf>
    <xf numFmtId="0" fontId="9" fillId="0" borderId="0" xfId="3" applyBorder="1"/>
    <xf numFmtId="0" fontId="2" fillId="0" borderId="1" xfId="1" applyBorder="1" applyAlignment="1">
      <alignment horizontal="left" wrapText="1"/>
    </xf>
    <xf numFmtId="0" fontId="2" fillId="0" borderId="1" xfId="1" applyBorder="1" applyAlignment="1">
      <alignment horizontal="center"/>
    </xf>
    <xf numFmtId="0" fontId="2" fillId="0" borderId="1" xfId="1" applyFont="1" applyBorder="1" applyAlignment="1">
      <alignment horizontal="center"/>
    </xf>
    <xf numFmtId="0" fontId="2" fillId="0" borderId="0" xfId="1"/>
    <xf numFmtId="0" fontId="2" fillId="0" borderId="0" xfId="1" applyBorder="1" applyAlignment="1"/>
    <xf numFmtId="0" fontId="2" fillId="0" borderId="1" xfId="1" applyFont="1" applyBorder="1" applyAlignment="1"/>
    <xf numFmtId="0" fontId="2" fillId="4" borderId="0" xfId="1" applyFill="1"/>
    <xf numFmtId="0" fontId="2" fillId="0" borderId="1" xfId="1" applyBorder="1" applyAlignment="1">
      <alignment horizontal="center"/>
    </xf>
    <xf numFmtId="0" fontId="2" fillId="0" borderId="1" xfId="1" applyBorder="1"/>
    <xf numFmtId="0" fontId="2" fillId="0" borderId="1" xfId="1" applyFont="1" applyBorder="1" applyAlignment="1">
      <alignment horizontal="center"/>
    </xf>
    <xf numFmtId="0" fontId="8" fillId="0" borderId="1" xfId="1" applyFont="1" applyBorder="1" applyAlignment="1">
      <alignment horizontal="center"/>
    </xf>
    <xf numFmtId="0" fontId="2" fillId="0" borderId="1" xfId="1" applyBorder="1" applyAlignment="1">
      <alignment horizontal="left"/>
    </xf>
    <xf numFmtId="0" fontId="2" fillId="0" borderId="6" xfId="1" applyBorder="1"/>
    <xf numFmtId="0" fontId="9" fillId="0" borderId="4" xfId="3" applyBorder="1"/>
    <xf numFmtId="0" fontId="9" fillId="0" borderId="6" xfId="3" applyBorder="1" applyAlignment="1"/>
    <xf numFmtId="0" fontId="9" fillId="0" borderId="4" xfId="3" applyBorder="1" applyAlignment="1">
      <alignment horizontal="right"/>
    </xf>
    <xf numFmtId="0" fontId="0" fillId="0" borderId="0" xfId="0"/>
    <xf numFmtId="0" fontId="2" fillId="0" borderId="1" xfId="1" applyBorder="1" applyAlignment="1">
      <alignment horizontal="center"/>
    </xf>
    <xf numFmtId="0" fontId="2" fillId="0" borderId="1" xfId="1" applyBorder="1" applyAlignment="1">
      <alignment horizontal="center" wrapText="1"/>
    </xf>
    <xf numFmtId="0" fontId="2" fillId="0" borderId="1" xfId="1" applyBorder="1"/>
    <xf numFmtId="0" fontId="2" fillId="0" borderId="1" xfId="1" applyFont="1" applyBorder="1" applyAlignment="1">
      <alignment horizontal="center"/>
    </xf>
    <xf numFmtId="0" fontId="2" fillId="0" borderId="0" xfId="1"/>
    <xf numFmtId="0" fontId="2" fillId="0" borderId="0" xfId="1" applyBorder="1" applyAlignment="1">
      <alignment horizontal="center"/>
    </xf>
    <xf numFmtId="0" fontId="2" fillId="0" borderId="0" xfId="1" applyBorder="1"/>
    <xf numFmtId="0" fontId="2" fillId="0" borderId="1" xfId="1" applyFont="1" applyBorder="1" applyAlignment="1">
      <alignment horizontal="left"/>
    </xf>
    <xf numFmtId="0" fontId="9" fillId="0" borderId="1" xfId="3" applyBorder="1" applyAlignment="1">
      <alignment horizontal="center"/>
    </xf>
    <xf numFmtId="0" fontId="8" fillId="0" borderId="1" xfId="1" applyFont="1" applyBorder="1" applyAlignment="1">
      <alignment horizontal="center"/>
    </xf>
    <xf numFmtId="0" fontId="2" fillId="0" borderId="1" xfId="1" applyBorder="1" applyAlignment="1">
      <alignment horizontal="left"/>
    </xf>
    <xf numFmtId="0" fontId="2" fillId="0" borderId="1" xfId="1" applyBorder="1" applyAlignment="1"/>
    <xf numFmtId="0" fontId="2" fillId="0" borderId="1" xfId="1" applyFont="1" applyBorder="1" applyAlignment="1"/>
    <xf numFmtId="0" fontId="11" fillId="4" borderId="1" xfId="1" applyFont="1" applyFill="1" applyBorder="1" applyAlignment="1">
      <alignment horizontal="center" vertical="center"/>
    </xf>
    <xf numFmtId="0" fontId="11" fillId="4" borderId="1" xfId="1" applyFont="1" applyFill="1" applyBorder="1" applyAlignment="1">
      <alignment horizontal="center" vertical="center" wrapText="1"/>
    </xf>
    <xf numFmtId="0" fontId="2" fillId="0" borderId="4" xfId="1" applyBorder="1"/>
    <xf numFmtId="0" fontId="2" fillId="0" borderId="6" xfId="1" applyBorder="1"/>
    <xf numFmtId="0" fontId="9" fillId="0" borderId="4" xfId="3" applyBorder="1"/>
    <xf numFmtId="0" fontId="8" fillId="0" borderId="2" xfId="1" applyFont="1" applyBorder="1" applyAlignment="1">
      <alignment horizontal="center"/>
    </xf>
    <xf numFmtId="0" fontId="2" fillId="0" borderId="2" xfId="1" applyFont="1" applyBorder="1" applyAlignment="1">
      <alignment horizontal="center"/>
    </xf>
    <xf numFmtId="0" fontId="9" fillId="0" borderId="0" xfId="3"/>
    <xf numFmtId="0" fontId="9" fillId="0" borderId="4" xfId="3" applyBorder="1" applyAlignment="1">
      <alignment horizontal="center"/>
    </xf>
    <xf numFmtId="0" fontId="9" fillId="0" borderId="6" xfId="3" applyBorder="1" applyAlignment="1">
      <alignment horizontal="center"/>
    </xf>
    <xf numFmtId="0" fontId="11" fillId="4" borderId="0" xfId="1" applyFont="1" applyFill="1" applyBorder="1" applyAlignment="1">
      <alignment horizontal="center"/>
    </xf>
    <xf numFmtId="0" fontId="37" fillId="4" borderId="0" xfId="3" applyFont="1" applyFill="1" applyBorder="1"/>
    <xf numFmtId="0" fontId="11" fillId="4" borderId="0" xfId="1" applyFont="1" applyFill="1" applyBorder="1"/>
    <xf numFmtId="0" fontId="8" fillId="4" borderId="0" xfId="1" applyFont="1" applyFill="1" applyBorder="1" applyAlignment="1">
      <alignment horizontal="center"/>
    </xf>
    <xf numFmtId="0" fontId="0" fillId="0" borderId="0" xfId="0"/>
    <xf numFmtId="0" fontId="7" fillId="0" borderId="1" xfId="0" applyFont="1" applyFill="1" applyBorder="1" applyAlignment="1">
      <alignment wrapText="1"/>
    </xf>
    <xf numFmtId="0" fontId="0" fillId="0" borderId="0" xfId="0"/>
    <xf numFmtId="0" fontId="4" fillId="0" borderId="1" xfId="0" applyFont="1" applyFill="1" applyBorder="1" applyAlignment="1">
      <alignment horizontal="center" vertical="center" wrapText="1"/>
    </xf>
    <xf numFmtId="0" fontId="3" fillId="4" borderId="1" xfId="0" applyFont="1" applyFill="1" applyBorder="1" applyAlignment="1">
      <alignment horizontal="center" wrapText="1"/>
    </xf>
    <xf numFmtId="0" fontId="0" fillId="0" borderId="0" xfId="0"/>
    <xf numFmtId="0" fontId="0" fillId="0" borderId="0" xfId="0"/>
    <xf numFmtId="0" fontId="7" fillId="0" borderId="1" xfId="0" applyFont="1" applyBorder="1" applyAlignment="1">
      <alignment horizontal="center" wrapText="1"/>
    </xf>
    <xf numFmtId="0" fontId="0" fillId="0" borderId="0" xfId="0"/>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4"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4" fillId="0" borderId="1" xfId="0" applyFont="1" applyBorder="1"/>
    <xf numFmtId="0" fontId="4" fillId="0" borderId="1" xfId="0" applyFont="1" applyFill="1" applyBorder="1" applyAlignment="1">
      <alignment horizontal="left" vertical="center"/>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pplyProtection="1">
      <alignment horizontal="left" vertical="center" wrapText="1"/>
      <protection locked="0"/>
    </xf>
    <xf numFmtId="0" fontId="3" fillId="0" borderId="1" xfId="0" applyFont="1" applyFill="1" applyBorder="1" applyAlignment="1">
      <alignment horizontal="left" vertical="center" wrapText="1"/>
    </xf>
    <xf numFmtId="0" fontId="3" fillId="0"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center"/>
    </xf>
    <xf numFmtId="0" fontId="3" fillId="0" borderId="1" xfId="0" applyFont="1" applyFill="1" applyBorder="1" applyAlignment="1">
      <alignment horizontal="left" vertical="center"/>
    </xf>
    <xf numFmtId="49" fontId="4" fillId="0" borderId="1" xfId="0" applyNumberFormat="1" applyFont="1" applyFill="1" applyBorder="1" applyAlignment="1">
      <alignment horizontal="left" vertical="center" wrapText="1"/>
    </xf>
    <xf numFmtId="0" fontId="7" fillId="0" borderId="1" xfId="0" applyFont="1" applyFill="1" applyBorder="1" applyAlignment="1">
      <alignment horizontal="center"/>
    </xf>
    <xf numFmtId="0" fontId="7" fillId="0" borderId="1" xfId="0" applyFont="1" applyBorder="1" applyAlignment="1">
      <alignment horizontal="center"/>
    </xf>
    <xf numFmtId="0" fontId="7" fillId="0" borderId="1" xfId="0" applyFont="1" applyBorder="1" applyAlignment="1">
      <alignment horizontal="center" vertical="center" wrapText="1"/>
    </xf>
    <xf numFmtId="0" fontId="7" fillId="0" borderId="1" xfId="0" applyFont="1" applyBorder="1"/>
    <xf numFmtId="49" fontId="7" fillId="0" borderId="1" xfId="0" applyNumberFormat="1" applyFont="1" applyBorder="1" applyAlignment="1">
      <alignment horizontal="center"/>
    </xf>
    <xf numFmtId="49" fontId="7" fillId="0" borderId="1" xfId="0" applyNumberFormat="1" applyFont="1" applyFill="1" applyBorder="1" applyAlignment="1">
      <alignment horizontal="center"/>
    </xf>
    <xf numFmtId="0" fontId="7" fillId="0" borderId="1" xfId="0" quotePrefix="1"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xf numFmtId="0" fontId="7" fillId="0" borderId="1" xfId="0" applyFont="1" applyBorder="1" applyAlignment="1">
      <alignment horizontal="center"/>
    </xf>
    <xf numFmtId="49" fontId="7" fillId="0" borderId="1" xfId="0" applyNumberFormat="1" applyFont="1" applyBorder="1" applyAlignment="1">
      <alignment horizontal="center"/>
    </xf>
    <xf numFmtId="0" fontId="7" fillId="0" borderId="1" xfId="0" applyFont="1" applyFill="1" applyBorder="1" applyAlignment="1">
      <alignment horizontal="center" vertical="center"/>
    </xf>
    <xf numFmtId="0" fontId="7" fillId="0" borderId="1" xfId="0" applyFont="1" applyBorder="1" applyAlignment="1">
      <alignment horizontal="center"/>
    </xf>
    <xf numFmtId="0" fontId="0" fillId="0" borderId="0" xfId="0"/>
    <xf numFmtId="0" fontId="7" fillId="0" borderId="1" xfId="0" applyFont="1" applyBorder="1" applyAlignment="1">
      <alignment horizontal="center"/>
    </xf>
    <xf numFmtId="0" fontId="4" fillId="0" borderId="1" xfId="0" applyFont="1" applyFill="1" applyBorder="1" applyAlignment="1">
      <alignment horizontal="center"/>
    </xf>
    <xf numFmtId="0" fontId="4" fillId="0" borderId="1" xfId="0" applyFont="1" applyFill="1" applyBorder="1" applyAlignment="1">
      <alignment horizontal="center" wrapText="1"/>
    </xf>
    <xf numFmtId="0" fontId="7" fillId="0" borderId="1" xfId="0" applyFont="1" applyBorder="1" applyAlignment="1">
      <alignment horizontal="center"/>
    </xf>
    <xf numFmtId="0" fontId="7" fillId="0" borderId="1" xfId="0" applyFont="1" applyBorder="1" applyAlignment="1">
      <alignment horizontal="center" vertical="center"/>
    </xf>
    <xf numFmtId="49" fontId="7" fillId="0" borderId="1" xfId="0" applyNumberFormat="1" applyFont="1" applyBorder="1" applyAlignment="1">
      <alignment horizontal="center" vertical="center"/>
    </xf>
    <xf numFmtId="0" fontId="7"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7" fillId="0" borderId="1" xfId="0" applyFont="1" applyFill="1" applyBorder="1" applyAlignment="1">
      <alignment horizontal="center"/>
    </xf>
    <xf numFmtId="0" fontId="7" fillId="0" borderId="1" xfId="0" applyFont="1" applyBorder="1" applyAlignment="1">
      <alignment horizontal="center"/>
    </xf>
    <xf numFmtId="0" fontId="7" fillId="0" borderId="1" xfId="0" applyFont="1" applyFill="1" applyBorder="1" applyAlignment="1">
      <alignment horizontal="center"/>
    </xf>
    <xf numFmtId="0" fontId="7" fillId="0" borderId="1" xfId="0" applyFont="1" applyBorder="1" applyAlignment="1">
      <alignment horizontal="center"/>
    </xf>
    <xf numFmtId="0" fontId="0" fillId="0" borderId="0" xfId="0"/>
    <xf numFmtId="0" fontId="3" fillId="0" borderId="1" xfId="0" applyFont="1" applyFill="1" applyBorder="1" applyAlignment="1">
      <alignment horizontal="left" vertical="center"/>
    </xf>
    <xf numFmtId="0" fontId="7" fillId="0" borderId="1" xfId="0" applyFont="1" applyBorder="1" applyAlignment="1">
      <alignment horizontal="center"/>
    </xf>
    <xf numFmtId="0" fontId="7" fillId="0" borderId="1" xfId="0" applyFont="1" applyFill="1" applyBorder="1" applyAlignment="1">
      <alignment horizontal="center"/>
    </xf>
    <xf numFmtId="0" fontId="7" fillId="0" borderId="1" xfId="0" applyFont="1" applyBorder="1" applyAlignment="1">
      <alignment horizontal="center"/>
    </xf>
    <xf numFmtId="49" fontId="7" fillId="0" borderId="1" xfId="0" applyNumberFormat="1" applyFont="1" applyBorder="1" applyAlignment="1">
      <alignment horizontal="center"/>
    </xf>
    <xf numFmtId="0" fontId="7" fillId="0" borderId="1" xfId="0" applyFont="1" applyFill="1" applyBorder="1" applyAlignment="1">
      <alignment horizontal="center" vertical="center"/>
    </xf>
    <xf numFmtId="0" fontId="7" fillId="0" borderId="1" xfId="0" applyFont="1" applyBorder="1" applyAlignment="1">
      <alignment horizontal="center"/>
    </xf>
    <xf numFmtId="0" fontId="0" fillId="0" borderId="0" xfId="0"/>
    <xf numFmtId="0" fontId="4" fillId="0" borderId="1" xfId="0" applyFont="1" applyFill="1" applyBorder="1" applyAlignment="1">
      <alignment horizontal="center" vertical="center" wrapText="1"/>
    </xf>
    <xf numFmtId="0" fontId="0" fillId="0" borderId="1" xfId="0" applyBorder="1" applyAlignment="1">
      <alignment horizont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0" fillId="0" borderId="1" xfId="0" applyBorder="1"/>
    <xf numFmtId="0" fontId="7" fillId="0" borderId="1" xfId="0" applyFont="1" applyFill="1" applyBorder="1" applyAlignment="1">
      <alignment horizontal="center"/>
    </xf>
    <xf numFmtId="0" fontId="7" fillId="0" borderId="1" xfId="0" applyFont="1" applyBorder="1" applyAlignment="1">
      <alignment horizontal="center"/>
    </xf>
    <xf numFmtId="0" fontId="7" fillId="0" borderId="1" xfId="0" applyFont="1" applyBorder="1"/>
    <xf numFmtId="49" fontId="7" fillId="0" borderId="1" xfId="0" applyNumberFormat="1" applyFont="1" applyBorder="1" applyAlignment="1">
      <alignment horizontal="center"/>
    </xf>
    <xf numFmtId="49" fontId="7" fillId="0" borderId="1" xfId="0" applyNumberFormat="1" applyFont="1" applyFill="1" applyBorder="1" applyAlignment="1">
      <alignment horizontal="center"/>
    </xf>
    <xf numFmtId="0" fontId="7" fillId="0" borderId="1" xfId="0" applyFont="1" applyFill="1" applyBorder="1" applyAlignment="1">
      <alignment horizontal="center" vertical="center"/>
    </xf>
    <xf numFmtId="0" fontId="0" fillId="0" borderId="0" xfId="0"/>
    <xf numFmtId="0" fontId="7" fillId="0" borderId="1" xfId="0" applyFont="1" applyBorder="1" applyAlignment="1">
      <alignment horizontal="center"/>
    </xf>
    <xf numFmtId="0" fontId="0" fillId="0" borderId="1" xfId="0" applyBorder="1" applyAlignment="1">
      <alignment horizontal="center"/>
    </xf>
    <xf numFmtId="0" fontId="5" fillId="0" borderId="1" xfId="0" applyFont="1" applyFill="1" applyBorder="1" applyAlignment="1">
      <alignment horizontal="left" vertical="center" wrapText="1"/>
    </xf>
    <xf numFmtId="0" fontId="7" fillId="0" borderId="1" xfId="0" applyFont="1" applyBorder="1" applyAlignment="1">
      <alignment horizontal="center"/>
    </xf>
    <xf numFmtId="49" fontId="7" fillId="0" borderId="1" xfId="0" applyNumberFormat="1" applyFont="1" applyBorder="1" applyAlignment="1">
      <alignment horizontal="center"/>
    </xf>
    <xf numFmtId="0" fontId="7" fillId="0" borderId="1" xfId="0" quotePrefix="1" applyFont="1" applyFill="1" applyBorder="1" applyAlignment="1">
      <alignment horizontal="center" vertical="center"/>
    </xf>
    <xf numFmtId="0" fontId="7" fillId="0" borderId="1" xfId="0" applyFont="1" applyFill="1" applyBorder="1" applyAlignment="1">
      <alignment horizontal="center" vertical="center"/>
    </xf>
    <xf numFmtId="0" fontId="0" fillId="0" borderId="1" xfId="0" applyBorder="1" applyAlignment="1">
      <alignment horizontal="center"/>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7" fillId="0" borderId="1" xfId="0" applyFont="1" applyBorder="1" applyAlignment="1">
      <alignment horizontal="center"/>
    </xf>
    <xf numFmtId="0" fontId="0" fillId="0" borderId="1" xfId="0" applyBorder="1" applyAlignment="1">
      <alignment horizontal="center"/>
    </xf>
    <xf numFmtId="0" fontId="0" fillId="0" borderId="1" xfId="0" applyFont="1" applyFill="1" applyBorder="1" applyAlignment="1">
      <alignment horizontal="center" vertical="center"/>
    </xf>
    <xf numFmtId="0" fontId="0" fillId="0" borderId="1" xfId="0" applyFont="1" applyBorder="1" applyAlignment="1">
      <alignment horizontal="center" vertical="center"/>
    </xf>
    <xf numFmtId="0" fontId="12" fillId="0" borderId="1" xfId="0" applyFont="1" applyFill="1" applyBorder="1" applyAlignment="1">
      <alignment horizontal="center" vertical="center" wrapText="1"/>
    </xf>
    <xf numFmtId="0" fontId="0" fillId="0" borderId="1" xfId="0" applyBorder="1" applyAlignment="1">
      <alignment horizontal="center" vertical="center"/>
    </xf>
    <xf numFmtId="0" fontId="12" fillId="0" borderId="1" xfId="0" applyFont="1" applyFill="1" applyBorder="1" applyAlignment="1">
      <alignment horizontal="center"/>
    </xf>
    <xf numFmtId="0" fontId="0" fillId="0" borderId="0" xfId="0" applyAlignment="1">
      <alignment horizontal="center"/>
    </xf>
    <xf numFmtId="165" fontId="12" fillId="0" borderId="1" xfId="0" applyNumberFormat="1" applyFont="1" applyFill="1" applyBorder="1" applyAlignment="1">
      <alignment horizontal="center"/>
    </xf>
    <xf numFmtId="2" fontId="12" fillId="0" borderId="1" xfId="0" applyNumberFormat="1" applyFont="1" applyFill="1" applyBorder="1" applyAlignment="1">
      <alignment horizontal="center"/>
    </xf>
    <xf numFmtId="1" fontId="12" fillId="0" borderId="1" xfId="0" applyNumberFormat="1" applyFont="1" applyBorder="1" applyAlignment="1">
      <alignment horizontal="center"/>
    </xf>
    <xf numFmtId="166" fontId="12" fillId="0" borderId="1" xfId="0" applyNumberFormat="1" applyFont="1" applyFill="1" applyBorder="1" applyAlignment="1">
      <alignment horizontal="center"/>
    </xf>
    <xf numFmtId="1" fontId="12" fillId="0" borderId="1" xfId="0" applyNumberFormat="1" applyFont="1" applyFill="1" applyBorder="1" applyAlignment="1">
      <alignment horizontal="center"/>
    </xf>
    <xf numFmtId="167" fontId="12" fillId="0" borderId="1" xfId="0" applyNumberFormat="1" applyFont="1" applyFill="1" applyBorder="1" applyAlignment="1">
      <alignment horizontal="center"/>
    </xf>
    <xf numFmtId="1" fontId="2" fillId="0" borderId="1" xfId="1" applyNumberFormat="1" applyFill="1" applyBorder="1" applyAlignment="1">
      <alignment horizontal="center"/>
    </xf>
    <xf numFmtId="2" fontId="2" fillId="0" borderId="1" xfId="1" applyNumberFormat="1" applyFill="1" applyBorder="1" applyAlignment="1">
      <alignment horizontal="center"/>
    </xf>
    <xf numFmtId="0" fontId="15" fillId="10" borderId="1" xfId="0" applyFont="1" applyFill="1" applyBorder="1" applyAlignment="1">
      <alignment horizontal="center" vertical="center" wrapText="1"/>
    </xf>
    <xf numFmtId="0" fontId="15" fillId="8" borderId="1" xfId="0" applyFont="1" applyFill="1" applyBorder="1" applyAlignment="1">
      <alignment horizontal="center" vertical="center" wrapText="1"/>
    </xf>
    <xf numFmtId="0" fontId="2" fillId="0" borderId="1" xfId="1" applyFont="1" applyBorder="1" applyAlignment="1">
      <alignment horizontal="center" vertical="center" wrapText="1"/>
    </xf>
    <xf numFmtId="0" fontId="0" fillId="0" borderId="4" xfId="0" applyFill="1" applyBorder="1" applyAlignment="1">
      <alignment horizontal="center" vertical="center" wrapText="1"/>
    </xf>
    <xf numFmtId="0" fontId="0" fillId="0" borderId="1" xfId="0" applyFill="1" applyBorder="1" applyAlignment="1">
      <alignment horizontal="left" wrapText="1"/>
    </xf>
    <xf numFmtId="0" fontId="11" fillId="7" borderId="1" xfId="1" applyFont="1" applyFill="1" applyBorder="1" applyAlignment="1" applyProtection="1">
      <alignment horizontal="center" vertical="center" wrapText="1"/>
    </xf>
    <xf numFmtId="0" fontId="11" fillId="7" borderId="4" xfId="1" applyFont="1" applyFill="1" applyBorder="1" applyAlignment="1" applyProtection="1">
      <alignment horizontal="center" vertical="center" wrapText="1"/>
    </xf>
    <xf numFmtId="0" fontId="11" fillId="7" borderId="6" xfId="1" applyFont="1" applyFill="1" applyBorder="1" applyAlignment="1" applyProtection="1">
      <alignment horizontal="center" vertical="center" wrapText="1"/>
    </xf>
    <xf numFmtId="11" fontId="20" fillId="13" borderId="1" xfId="0" applyNumberFormat="1" applyFont="1" applyFill="1" applyBorder="1" applyAlignment="1">
      <alignment horizontal="center"/>
    </xf>
    <xf numFmtId="167" fontId="12" fillId="13" borderId="1" xfId="0" applyNumberFormat="1" applyFont="1" applyFill="1" applyBorder="1" applyAlignment="1">
      <alignment horizontal="center" vertical="center"/>
    </xf>
    <xf numFmtId="168" fontId="12" fillId="13" borderId="1" xfId="0" applyNumberFormat="1" applyFont="1" applyFill="1" applyBorder="1" applyAlignment="1">
      <alignment horizontal="center"/>
    </xf>
    <xf numFmtId="2" fontId="12" fillId="13" borderId="1" xfId="0" applyNumberFormat="1" applyFont="1" applyFill="1" applyBorder="1" applyAlignment="1" applyProtection="1">
      <alignment horizontal="center" vertical="center" wrapText="1"/>
      <protection hidden="1"/>
    </xf>
    <xf numFmtId="169" fontId="20" fillId="13" borderId="1" xfId="0" applyNumberFormat="1" applyFont="1" applyFill="1" applyBorder="1" applyAlignment="1">
      <alignment horizontal="center"/>
    </xf>
    <xf numFmtId="0" fontId="40" fillId="0" borderId="0" xfId="0" applyFont="1" applyFill="1" applyAlignment="1">
      <alignment horizontal="center"/>
    </xf>
    <xf numFmtId="0" fontId="40" fillId="0" borderId="0" xfId="0" applyFont="1" applyFill="1"/>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xf>
    <xf numFmtId="0" fontId="0" fillId="0" borderId="1" xfId="0" applyFill="1" applyBorder="1" applyAlignment="1">
      <alignment horizontal="center"/>
    </xf>
    <xf numFmtId="0" fontId="2" fillId="0" borderId="4" xfId="1" applyFont="1" applyFill="1" applyBorder="1"/>
    <xf numFmtId="0" fontId="0" fillId="0" borderId="4" xfId="0" applyFill="1" applyBorder="1" applyAlignment="1">
      <alignment vertical="center" wrapText="1"/>
    </xf>
    <xf numFmtId="49" fontId="2" fillId="0" borderId="1" xfId="1" applyNumberFormat="1" applyFont="1" applyFill="1" applyBorder="1" applyAlignment="1">
      <alignment horizontal="center" vertical="center" wrapText="1"/>
    </xf>
    <xf numFmtId="0" fontId="12" fillId="0" borderId="1" xfId="0" applyFont="1" applyFill="1" applyBorder="1" applyAlignment="1">
      <alignment horizontal="left" wrapText="1"/>
    </xf>
    <xf numFmtId="0" fontId="0" fillId="0" borderId="1" xfId="0" applyFill="1" applyBorder="1" applyAlignment="1">
      <alignment horizontal="center" vertical="center"/>
    </xf>
    <xf numFmtId="0" fontId="0" fillId="0" borderId="1" xfId="0" applyFill="1" applyBorder="1" applyAlignment="1">
      <alignment horizontal="center"/>
    </xf>
    <xf numFmtId="0" fontId="2" fillId="0" borderId="2" xfId="1" applyFont="1" applyFill="1" applyBorder="1"/>
    <xf numFmtId="0" fontId="2" fillId="0" borderId="7" xfId="1" applyFont="1" applyFill="1" applyBorder="1"/>
    <xf numFmtId="0" fontId="2" fillId="13" borderId="2" xfId="1" applyFont="1" applyFill="1" applyBorder="1"/>
    <xf numFmtId="0" fontId="2" fillId="0" borderId="0" xfId="1" applyFill="1"/>
    <xf numFmtId="0" fontId="2" fillId="0" borderId="4" xfId="1" applyFont="1" applyFill="1" applyBorder="1" applyAlignment="1" applyProtection="1">
      <alignment horizontal="center" vertical="center" wrapText="1"/>
    </xf>
    <xf numFmtId="0" fontId="2" fillId="0" borderId="4" xfId="1" applyFont="1" applyFill="1" applyBorder="1" applyAlignment="1">
      <alignment vertical="center" wrapText="1"/>
    </xf>
    <xf numFmtId="0" fontId="2" fillId="13" borderId="4" xfId="1" applyFont="1" applyFill="1" applyBorder="1"/>
    <xf numFmtId="11" fontId="2" fillId="13" borderId="4" xfId="1" applyNumberFormat="1" applyFont="1" applyFill="1" applyBorder="1" applyAlignment="1" applyProtection="1">
      <alignment horizontal="center" vertical="center" wrapText="1"/>
      <protection locked="0"/>
    </xf>
    <xf numFmtId="0" fontId="2" fillId="13" borderId="4" xfId="1" applyFont="1" applyFill="1" applyBorder="1" applyAlignment="1" applyProtection="1">
      <alignment horizontal="left" vertical="center" wrapText="1"/>
      <protection locked="0"/>
    </xf>
    <xf numFmtId="11" fontId="2" fillId="0" borderId="4" xfId="1" applyNumberFormat="1" applyFont="1" applyFill="1" applyBorder="1" applyAlignment="1" applyProtection="1">
      <alignment horizontal="center" vertical="center" wrapText="1"/>
      <protection locked="0"/>
    </xf>
    <xf numFmtId="0" fontId="2" fillId="0" borderId="4" xfId="1" applyFont="1" applyFill="1" applyBorder="1" applyAlignment="1" applyProtection="1">
      <alignment horizontal="left" vertical="center" wrapText="1"/>
      <protection locked="0"/>
    </xf>
    <xf numFmtId="11" fontId="2" fillId="13" borderId="4" xfId="1" applyNumberFormat="1" applyFont="1" applyFill="1" applyBorder="1" applyAlignment="1">
      <alignment horizontal="center" vertical="center" wrapText="1"/>
    </xf>
    <xf numFmtId="0" fontId="2" fillId="13" borderId="4" xfId="1" applyFont="1" applyFill="1" applyBorder="1" applyAlignment="1">
      <alignment vertical="center" wrapText="1"/>
    </xf>
    <xf numFmtId="0" fontId="2" fillId="13" borderId="4" xfId="1" applyFont="1" applyFill="1" applyBorder="1" applyAlignment="1">
      <alignment horizontal="center" vertical="center" wrapText="1"/>
    </xf>
    <xf numFmtId="0" fontId="2" fillId="13" borderId="4" xfId="1" applyFont="1" applyFill="1" applyBorder="1" applyAlignment="1">
      <alignment horizontal="left" vertical="center" wrapText="1"/>
    </xf>
    <xf numFmtId="0" fontId="2" fillId="0" borderId="4" xfId="1" applyFont="1" applyFill="1" applyBorder="1" applyAlignment="1">
      <alignment horizontal="left" vertical="center" wrapText="1"/>
    </xf>
    <xf numFmtId="11" fontId="2" fillId="0" borderId="4" xfId="1" applyNumberFormat="1" applyFont="1" applyFill="1" applyBorder="1" applyAlignment="1">
      <alignment horizontal="center" vertical="center" wrapText="1"/>
    </xf>
    <xf numFmtId="0" fontId="2" fillId="13" borderId="7" xfId="1" applyFont="1" applyFill="1" applyBorder="1"/>
    <xf numFmtId="0" fontId="2" fillId="13" borderId="6" xfId="1" applyFont="1" applyFill="1" applyBorder="1"/>
    <xf numFmtId="11" fontId="2" fillId="13" borderId="6" xfId="1" applyNumberFormat="1" applyFont="1" applyFill="1" applyBorder="1" applyAlignment="1" applyProtection="1">
      <alignment horizontal="center" vertical="center" wrapText="1"/>
      <protection locked="0"/>
    </xf>
    <xf numFmtId="11" fontId="2" fillId="0" borderId="6" xfId="1" applyNumberFormat="1" applyFont="1" applyFill="1" applyBorder="1" applyAlignment="1" applyProtection="1">
      <alignment horizontal="center" vertical="center" wrapText="1"/>
      <protection locked="0"/>
    </xf>
    <xf numFmtId="11" fontId="2" fillId="13" borderId="6" xfId="1" applyNumberFormat="1" applyFont="1" applyFill="1" applyBorder="1" applyAlignment="1">
      <alignment horizontal="center" vertical="center" wrapText="1"/>
    </xf>
    <xf numFmtId="0" fontId="2" fillId="13" borderId="6" xfId="1" applyFont="1" applyFill="1" applyBorder="1" applyAlignment="1">
      <alignment vertical="center" wrapText="1"/>
    </xf>
    <xf numFmtId="11" fontId="2" fillId="0" borderId="6" xfId="1" applyNumberFormat="1" applyFont="1" applyFill="1" applyBorder="1" applyAlignment="1">
      <alignment horizontal="center" vertical="center" wrapText="1"/>
    </xf>
    <xf numFmtId="0" fontId="2" fillId="0" borderId="6" xfId="1" applyFont="1" applyFill="1" applyBorder="1"/>
    <xf numFmtId="0" fontId="2" fillId="13" borderId="8" xfId="1" applyFont="1" applyFill="1" applyBorder="1"/>
    <xf numFmtId="0" fontId="2" fillId="0" borderId="4" xfId="1" applyNumberFormat="1" applyFont="1" applyFill="1" applyBorder="1" applyAlignment="1" applyProtection="1">
      <alignment horizontal="center" vertical="center" wrapText="1"/>
      <protection locked="0"/>
    </xf>
    <xf numFmtId="2" fontId="2" fillId="13" borderId="4" xfId="1" applyNumberFormat="1" applyFont="1" applyFill="1" applyBorder="1" applyAlignment="1" applyProtection="1">
      <alignment horizontal="center" vertical="center" wrapText="1"/>
      <protection locked="0"/>
    </xf>
    <xf numFmtId="2" fontId="2" fillId="0" borderId="4" xfId="1" applyNumberFormat="1" applyFont="1" applyFill="1" applyBorder="1" applyAlignment="1" applyProtection="1">
      <alignment horizontal="center" vertical="center" wrapText="1"/>
      <protection locked="0"/>
    </xf>
    <xf numFmtId="0" fontId="2" fillId="0" borderId="4" xfId="1" applyFont="1" applyFill="1" applyBorder="1" applyAlignment="1">
      <alignment vertical="center"/>
    </xf>
    <xf numFmtId="0" fontId="2" fillId="0" borderId="4" xfId="1" quotePrefix="1" applyFont="1" applyFill="1" applyBorder="1" applyAlignment="1">
      <alignment vertical="center"/>
    </xf>
    <xf numFmtId="0" fontId="2" fillId="0" borderId="6" xfId="1" applyFont="1" applyFill="1" applyBorder="1" applyAlignment="1">
      <alignment vertical="center"/>
    </xf>
    <xf numFmtId="0" fontId="2" fillId="0" borderId="6" xfId="1" quotePrefix="1" applyFont="1" applyFill="1" applyBorder="1" applyAlignment="1">
      <alignment vertical="center"/>
    </xf>
    <xf numFmtId="0" fontId="2" fillId="0" borderId="8" xfId="1" applyFont="1" applyFill="1" applyBorder="1"/>
    <xf numFmtId="0" fontId="2" fillId="0" borderId="6" xfId="1" applyFont="1" applyBorder="1"/>
    <xf numFmtId="0" fontId="2" fillId="0" borderId="6" xfId="1" quotePrefix="1" applyFont="1" applyFill="1" applyBorder="1" applyAlignment="1">
      <alignment vertical="center" wrapText="1"/>
    </xf>
    <xf numFmtId="2" fontId="20" fillId="13" borderId="1" xfId="0" applyNumberFormat="1" applyFont="1" applyFill="1" applyBorder="1" applyAlignment="1">
      <alignment horizontal="center" vertical="center"/>
    </xf>
    <xf numFmtId="0" fontId="0" fillId="0" borderId="0" xfId="0"/>
    <xf numFmtId="0" fontId="0" fillId="0" borderId="1" xfId="0" applyFill="1" applyBorder="1" applyAlignment="1">
      <alignment horizontal="center"/>
    </xf>
    <xf numFmtId="0" fontId="2" fillId="0" borderId="1" xfId="1" applyFont="1" applyFill="1" applyBorder="1"/>
    <xf numFmtId="0" fontId="0" fillId="0" borderId="1" xfId="0" applyBorder="1" applyAlignment="1">
      <alignment horizontal="center" vertical="center"/>
    </xf>
    <xf numFmtId="0" fontId="0" fillId="0" borderId="1" xfId="0" applyFont="1" applyBorder="1" applyAlignment="1">
      <alignment horizontal="center" vertical="center"/>
    </xf>
    <xf numFmtId="0" fontId="0" fillId="0" borderId="0" xfId="0"/>
    <xf numFmtId="0" fontId="0" fillId="0" borderId="1" xfId="0" applyFont="1" applyFill="1" applyBorder="1" applyAlignment="1">
      <alignment horizontal="center" vertical="center"/>
    </xf>
    <xf numFmtId="0" fontId="0" fillId="0" borderId="1" xfId="0" applyFill="1" applyBorder="1"/>
    <xf numFmtId="0" fontId="0" fillId="0" borderId="1" xfId="0" applyFill="1" applyBorder="1" applyAlignment="1">
      <alignment vertical="center" wrapText="1"/>
    </xf>
    <xf numFmtId="0" fontId="0" fillId="0" borderId="1" xfId="0" applyBorder="1"/>
    <xf numFmtId="0" fontId="2" fillId="0" borderId="8" xfId="1" applyFont="1" applyFill="1" applyBorder="1" applyAlignment="1" applyProtection="1">
      <alignment horizontal="left" vertical="center" wrapText="1"/>
      <protection locked="0"/>
    </xf>
    <xf numFmtId="0" fontId="2" fillId="0" borderId="2" xfId="1" applyFont="1" applyFill="1" applyBorder="1" applyAlignment="1" applyProtection="1">
      <alignment horizontal="left" vertical="center" wrapText="1"/>
      <protection locked="0"/>
    </xf>
    <xf numFmtId="0" fontId="2" fillId="0" borderId="2" xfId="1" applyNumberFormat="1" applyFont="1" applyFill="1" applyBorder="1" applyAlignment="1" applyProtection="1">
      <alignment horizontal="left" vertical="center" wrapText="1"/>
      <protection locked="0"/>
    </xf>
    <xf numFmtId="11" fontId="2" fillId="0" borderId="2" xfId="1" applyNumberFormat="1" applyFont="1" applyFill="1" applyBorder="1" applyAlignment="1" applyProtection="1">
      <alignment horizontal="left" vertical="center" wrapText="1"/>
      <protection locked="0"/>
    </xf>
    <xf numFmtId="2" fontId="2" fillId="0" borderId="2" xfId="1" applyNumberFormat="1" applyFont="1" applyFill="1" applyBorder="1" applyAlignment="1" applyProtection="1">
      <alignment horizontal="center" vertical="center" wrapText="1"/>
      <protection locked="0"/>
    </xf>
    <xf numFmtId="0" fontId="2" fillId="0" borderId="2" xfId="1" applyFont="1" applyFill="1" applyBorder="1" applyAlignment="1">
      <alignment vertical="center" wrapText="1"/>
    </xf>
    <xf numFmtId="11" fontId="2" fillId="0" borderId="13" xfId="1" applyNumberFormat="1" applyFont="1" applyFill="1" applyBorder="1" applyAlignment="1" applyProtection="1">
      <alignment horizontal="center" vertical="center" wrapText="1"/>
      <protection locked="0"/>
    </xf>
    <xf numFmtId="0" fontId="2" fillId="0" borderId="13" xfId="1" applyNumberFormat="1" applyFont="1" applyFill="1" applyBorder="1" applyAlignment="1" applyProtection="1">
      <alignment horizontal="center" vertical="center" wrapText="1"/>
      <protection locked="0"/>
    </xf>
    <xf numFmtId="2" fontId="2" fillId="0" borderId="13" xfId="1" applyNumberFormat="1" applyFont="1" applyFill="1" applyBorder="1" applyAlignment="1" applyProtection="1">
      <alignment horizontal="center" vertical="center" wrapText="1"/>
      <protection locked="0"/>
    </xf>
    <xf numFmtId="0" fontId="2" fillId="13" borderId="2" xfId="1" quotePrefix="1" applyFont="1" applyFill="1" applyBorder="1" applyAlignment="1" applyProtection="1">
      <alignment horizontal="left" vertical="center" wrapText="1"/>
      <protection locked="0"/>
    </xf>
    <xf numFmtId="0" fontId="2" fillId="13" borderId="8" xfId="1" applyFont="1" applyFill="1" applyBorder="1" applyAlignment="1">
      <alignment horizontal="left" vertical="center" wrapText="1"/>
    </xf>
    <xf numFmtId="0" fontId="2" fillId="13" borderId="2" xfId="1" applyNumberFormat="1" applyFont="1" applyFill="1" applyBorder="1" applyAlignment="1" applyProtection="1">
      <alignment horizontal="left" vertical="center" wrapText="1"/>
      <protection locked="0"/>
    </xf>
    <xf numFmtId="11" fontId="2" fillId="13" borderId="2" xfId="1" applyNumberFormat="1" applyFont="1" applyFill="1" applyBorder="1" applyAlignment="1" applyProtection="1">
      <alignment horizontal="left" vertical="center" wrapText="1"/>
      <protection locked="0"/>
    </xf>
    <xf numFmtId="0" fontId="2" fillId="13" borderId="2" xfId="1" quotePrefix="1" applyNumberFormat="1" applyFont="1" applyFill="1" applyBorder="1" applyAlignment="1" applyProtection="1">
      <alignment horizontal="left" vertical="center" wrapText="1"/>
      <protection locked="0"/>
    </xf>
    <xf numFmtId="0" fontId="2" fillId="13" borderId="2" xfId="1" applyFont="1" applyFill="1" applyBorder="1" applyAlignment="1">
      <alignment horizontal="left" vertical="center" wrapText="1"/>
    </xf>
    <xf numFmtId="2" fontId="2" fillId="13" borderId="2" xfId="1" applyNumberFormat="1" applyFont="1" applyFill="1" applyBorder="1" applyAlignment="1" applyProtection="1">
      <alignment horizontal="center" vertical="center" wrapText="1"/>
      <protection locked="0"/>
    </xf>
    <xf numFmtId="0" fontId="2" fillId="13" borderId="2" xfId="1" applyFont="1" applyFill="1" applyBorder="1" applyAlignment="1" applyProtection="1">
      <alignment horizontal="left" vertical="center" wrapText="1"/>
      <protection locked="0"/>
    </xf>
    <xf numFmtId="2" fontId="2" fillId="13" borderId="7" xfId="1" applyNumberFormat="1" applyFont="1" applyFill="1" applyBorder="1" applyAlignment="1" applyProtection="1">
      <alignment horizontal="center" vertical="center" wrapText="1"/>
      <protection locked="0"/>
    </xf>
    <xf numFmtId="0" fontId="2" fillId="13" borderId="8" xfId="1" applyFont="1" applyFill="1" applyBorder="1" applyAlignment="1" applyProtection="1">
      <alignment horizontal="left" vertical="center" wrapText="1"/>
      <protection locked="0"/>
    </xf>
    <xf numFmtId="0" fontId="2" fillId="0" borderId="13" xfId="1" applyFont="1" applyFill="1" applyBorder="1" applyAlignment="1" applyProtection="1">
      <alignment horizontal="center" vertical="center" wrapText="1"/>
      <protection locked="0"/>
    </xf>
    <xf numFmtId="0" fontId="2" fillId="0" borderId="11" xfId="1" applyFont="1" applyFill="1" applyBorder="1" applyAlignment="1" applyProtection="1">
      <alignment horizontal="center" vertical="center" wrapText="1"/>
      <protection locked="0"/>
    </xf>
    <xf numFmtId="2" fontId="2" fillId="0" borderId="10" xfId="1" applyNumberFormat="1" applyFont="1" applyFill="1" applyBorder="1" applyAlignment="1" applyProtection="1">
      <alignment horizontal="center" vertical="center" wrapText="1"/>
      <protection locked="0"/>
    </xf>
    <xf numFmtId="11" fontId="2" fillId="0" borderId="11" xfId="1" applyNumberFormat="1" applyFont="1" applyFill="1" applyBorder="1" applyAlignment="1" applyProtection="1">
      <alignment horizontal="center" vertical="center" wrapText="1"/>
      <protection locked="0"/>
    </xf>
    <xf numFmtId="0" fontId="2" fillId="0" borderId="2" xfId="1" applyFont="1" applyFill="1" applyBorder="1" applyAlignment="1">
      <alignment horizontal="left" vertical="center" wrapText="1"/>
    </xf>
    <xf numFmtId="2" fontId="2" fillId="0" borderId="7" xfId="1" applyNumberFormat="1" applyFont="1" applyFill="1" applyBorder="1" applyAlignment="1" applyProtection="1">
      <alignment horizontal="center" vertical="center" wrapText="1"/>
      <protection locked="0"/>
    </xf>
    <xf numFmtId="0" fontId="2" fillId="0" borderId="2" xfId="1" quotePrefix="1" applyFont="1" applyFill="1" applyBorder="1" applyAlignment="1">
      <alignment vertical="center" wrapText="1"/>
    </xf>
    <xf numFmtId="0" fontId="2" fillId="0" borderId="8" xfId="1" applyFont="1" applyFill="1" applyBorder="1" applyAlignment="1">
      <alignment horizontal="left" vertical="center" wrapText="1"/>
    </xf>
    <xf numFmtId="0" fontId="0" fillId="14" borderId="1" xfId="0" applyFill="1" applyBorder="1" applyAlignment="1">
      <alignment horizontal="center" vertical="center"/>
    </xf>
    <xf numFmtId="2" fontId="12" fillId="0" borderId="0" xfId="0" applyNumberFormat="1" applyFont="1" applyFill="1" applyBorder="1" applyAlignment="1">
      <alignment horizontal="center"/>
    </xf>
    <xf numFmtId="0" fontId="13" fillId="0" borderId="8" xfId="0" applyFont="1" applyFill="1" applyBorder="1" applyAlignment="1">
      <alignment horizontal="left" vertical="top" wrapText="1"/>
    </xf>
    <xf numFmtId="11" fontId="12" fillId="0" borderId="1" xfId="0" applyNumberFormat="1" applyFont="1" applyFill="1" applyBorder="1" applyAlignment="1">
      <alignment horizontal="left" vertical="center" wrapText="1"/>
    </xf>
    <xf numFmtId="0" fontId="0" fillId="0" borderId="0" xfId="0" applyAlignment="1">
      <alignment vertical="center"/>
    </xf>
    <xf numFmtId="0" fontId="0" fillId="0" borderId="1" xfId="0" applyFill="1" applyBorder="1" applyAlignment="1">
      <alignment horizontal="left" vertical="center" wrapText="1"/>
    </xf>
    <xf numFmtId="0" fontId="23" fillId="0" borderId="1" xfId="0" applyFont="1" applyFill="1" applyBorder="1" applyAlignment="1">
      <alignment horizontal="left" vertical="center" wrapText="1"/>
    </xf>
    <xf numFmtId="165" fontId="12" fillId="0" borderId="1" xfId="0" applyNumberFormat="1" applyFont="1" applyFill="1" applyBorder="1" applyAlignment="1">
      <alignment horizontal="center" vertical="center"/>
    </xf>
    <xf numFmtId="2" fontId="12" fillId="0" borderId="1" xfId="0" applyNumberFormat="1" applyFont="1" applyFill="1" applyBorder="1" applyAlignment="1">
      <alignment horizontal="center" vertical="center"/>
    </xf>
    <xf numFmtId="1" fontId="0" fillId="0" borderId="0" xfId="0" applyNumberFormat="1" applyFont="1" applyBorder="1" applyAlignment="1">
      <alignment horizontal="center" vertical="center"/>
    </xf>
    <xf numFmtId="166" fontId="0" fillId="0" borderId="0" xfId="0" applyNumberFormat="1" applyFont="1" applyBorder="1" applyAlignment="1">
      <alignment horizontal="center" vertical="center"/>
    </xf>
    <xf numFmtId="2" fontId="0" fillId="0" borderId="0" xfId="0" applyNumberFormat="1" applyFont="1" applyBorder="1" applyAlignment="1">
      <alignment vertical="center"/>
    </xf>
    <xf numFmtId="165" fontId="0" fillId="0" borderId="0" xfId="0" applyNumberFormat="1" applyFont="1" applyBorder="1" applyAlignment="1">
      <alignment horizontal="center" vertical="center"/>
    </xf>
    <xf numFmtId="2" fontId="0" fillId="0" borderId="0" xfId="0" applyNumberFormat="1" applyFont="1" applyBorder="1" applyAlignment="1">
      <alignment horizontal="center" vertical="center"/>
    </xf>
    <xf numFmtId="0" fontId="0" fillId="0" borderId="0" xfId="0" applyBorder="1" applyAlignment="1">
      <alignment vertical="center"/>
    </xf>
    <xf numFmtId="0" fontId="33" fillId="0" borderId="0" xfId="0" applyFont="1"/>
    <xf numFmtId="0" fontId="0" fillId="0" borderId="0" xfId="0" applyFill="1" applyAlignment="1">
      <alignment horizontal="left" wrapText="1"/>
    </xf>
    <xf numFmtId="0" fontId="0" fillId="0" borderId="1" xfId="0" applyFont="1" applyBorder="1" applyAlignment="1">
      <alignment horizontal="left" wrapText="1"/>
    </xf>
    <xf numFmtId="0" fontId="0" fillId="0" borderId="1" xfId="0" applyBorder="1" applyAlignment="1">
      <alignment horizontal="left" wrapText="1"/>
    </xf>
    <xf numFmtId="0" fontId="12" fillId="0" borderId="1" xfId="0" applyNumberFormat="1" applyFont="1" applyFill="1" applyBorder="1" applyAlignment="1">
      <alignment horizontal="left" wrapText="1"/>
    </xf>
    <xf numFmtId="0" fontId="0" fillId="0" borderId="0" xfId="0" applyFont="1" applyAlignment="1">
      <alignment horizontal="left" wrapText="1"/>
    </xf>
    <xf numFmtId="0" fontId="0" fillId="0" borderId="1" xfId="0" applyNumberFormat="1" applyFont="1" applyBorder="1" applyAlignment="1">
      <alignment horizontal="left" wrapText="1"/>
    </xf>
    <xf numFmtId="0" fontId="12" fillId="5" borderId="1" xfId="0" applyFont="1" applyFill="1" applyBorder="1" applyAlignment="1">
      <alignment horizontal="left" wrapText="1"/>
    </xf>
    <xf numFmtId="0" fontId="0" fillId="6" borderId="0" xfId="0" applyFill="1"/>
    <xf numFmtId="1" fontId="0" fillId="0" borderId="0" xfId="0" applyNumberFormat="1" applyFont="1" applyFill="1" applyBorder="1" applyAlignment="1">
      <alignment horizontal="center"/>
    </xf>
    <xf numFmtId="2" fontId="0" fillId="0" borderId="0" xfId="0" applyNumberFormat="1" applyFont="1" applyFill="1" applyBorder="1" applyAlignment="1">
      <alignment horizontal="center"/>
    </xf>
    <xf numFmtId="2" fontId="0" fillId="0" borderId="0" xfId="0" applyNumberFormat="1" applyFont="1" applyFill="1" applyBorder="1"/>
    <xf numFmtId="0" fontId="0" fillId="0" borderId="0" xfId="0" applyFill="1" applyBorder="1"/>
    <xf numFmtId="2" fontId="12" fillId="13" borderId="1" xfId="0" applyNumberFormat="1" applyFont="1" applyFill="1" applyBorder="1" applyAlignment="1">
      <alignment horizontal="center"/>
    </xf>
    <xf numFmtId="2" fontId="12" fillId="13" borderId="1" xfId="0" applyNumberFormat="1" applyFont="1" applyFill="1" applyBorder="1" applyAlignment="1" applyProtection="1">
      <alignment horizontal="center" vertical="center" wrapText="1"/>
      <protection hidden="1"/>
    </xf>
    <xf numFmtId="0" fontId="7" fillId="0" borderId="1" xfId="0" applyFont="1" applyFill="1" applyBorder="1" applyAlignment="1">
      <alignment horizontal="center" vertical="center" wrapText="1"/>
    </xf>
    <xf numFmtId="0" fontId="7" fillId="0" borderId="6" xfId="0" applyFont="1" applyFill="1" applyBorder="1" applyAlignment="1">
      <alignment horizontal="center"/>
    </xf>
    <xf numFmtId="0" fontId="0" fillId="0" borderId="2" xfId="0" quotePrefix="1" applyFont="1" applyFill="1" applyBorder="1" applyAlignment="1">
      <alignment horizontal="center" vertical="center"/>
    </xf>
    <xf numFmtId="0" fontId="0" fillId="0" borderId="0" xfId="0" applyFill="1" applyAlignment="1">
      <alignment wrapText="1"/>
    </xf>
    <xf numFmtId="0" fontId="4" fillId="0" borderId="0" xfId="0" applyFont="1" applyFill="1" applyBorder="1" applyAlignment="1">
      <alignment horizontal="center" vertical="center" wrapText="1"/>
    </xf>
    <xf numFmtId="49" fontId="0" fillId="0" borderId="1" xfId="0" applyNumberFormat="1" applyFill="1" applyBorder="1" applyAlignment="1">
      <alignment horizontal="center"/>
    </xf>
    <xf numFmtId="0" fontId="0" fillId="0" borderId="0" xfId="0" applyFill="1" applyAlignment="1">
      <alignment horizontal="center" vertical="center" wrapText="1"/>
    </xf>
    <xf numFmtId="0" fontId="0" fillId="0" borderId="0" xfId="0" applyFill="1" applyAlignment="1">
      <alignment vertical="center"/>
    </xf>
    <xf numFmtId="0" fontId="12" fillId="0" borderId="0" xfId="0" applyFont="1" applyFill="1" applyAlignment="1">
      <alignment horizontal="left" vertical="center"/>
    </xf>
    <xf numFmtId="0" fontId="0" fillId="0" borderId="0" xfId="0" applyFont="1" applyFill="1" applyAlignment="1">
      <alignment horizontal="center" vertical="center"/>
    </xf>
    <xf numFmtId="0" fontId="4" fillId="0" borderId="6"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7" fillId="0" borderId="1" xfId="0" applyFont="1" applyBorder="1" applyAlignment="1">
      <alignment horizontal="center" wrapText="1"/>
    </xf>
    <xf numFmtId="0" fontId="4" fillId="0" borderId="1" xfId="0" applyFont="1" applyFill="1" applyBorder="1" applyAlignment="1">
      <alignment horizontal="left" vertical="center" wrapText="1"/>
    </xf>
    <xf numFmtId="0" fontId="0" fillId="0" borderId="1" xfId="0" applyBorder="1" applyAlignment="1">
      <alignment horizontal="center"/>
    </xf>
    <xf numFmtId="0" fontId="7" fillId="0" borderId="1" xfId="0" applyFont="1" applyBorder="1" applyAlignment="1">
      <alignment horizontal="center" wrapText="1"/>
    </xf>
    <xf numFmtId="0" fontId="7" fillId="0" borderId="1" xfId="0" applyFont="1" applyBorder="1" applyAlignment="1">
      <alignment horizontal="center"/>
    </xf>
    <xf numFmtId="0" fontId="7" fillId="0" borderId="1" xfId="0" applyFont="1" applyBorder="1" applyAlignment="1">
      <alignment horizontal="left" wrapText="1"/>
    </xf>
    <xf numFmtId="0" fontId="0" fillId="0" borderId="1" xfId="0" applyBorder="1" applyAlignment="1">
      <alignment horizontal="center" wrapText="1"/>
    </xf>
    <xf numFmtId="0" fontId="0" fillId="0" borderId="1" xfId="0" applyBorder="1" applyAlignment="1">
      <alignment horizontal="center"/>
    </xf>
    <xf numFmtId="0" fontId="9" fillId="0" borderId="1" xfId="3" applyBorder="1" applyAlignment="1">
      <alignment horizontal="center"/>
    </xf>
    <xf numFmtId="0" fontId="0" fillId="0" borderId="1" xfId="0" applyFont="1" applyFill="1" applyBorder="1" applyAlignment="1">
      <alignment horizontal="center" vertical="center"/>
    </xf>
    <xf numFmtId="0" fontId="0" fillId="0" borderId="1" xfId="0" quotePrefix="1" applyFont="1" applyFill="1" applyBorder="1" applyAlignment="1">
      <alignment horizontal="center" vertical="center"/>
    </xf>
    <xf numFmtId="0" fontId="0" fillId="0" borderId="1" xfId="0" applyFont="1" applyBorder="1" applyAlignment="1">
      <alignment horizontal="center" vertical="center"/>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13" fillId="0" borderId="1" xfId="0" applyFont="1" applyFill="1" applyBorder="1" applyAlignment="1">
      <alignment horizontal="center" vertical="center" wrapText="1"/>
    </xf>
    <xf numFmtId="0" fontId="0" fillId="0" borderId="1" xfId="0" applyFill="1" applyBorder="1" applyAlignment="1">
      <alignment horizontal="center"/>
    </xf>
    <xf numFmtId="0" fontId="12" fillId="0" borderId="1" xfId="0" applyFont="1" applyFill="1" applyBorder="1" applyAlignment="1">
      <alignment horizontal="center"/>
    </xf>
    <xf numFmtId="0" fontId="12" fillId="0" borderId="1" xfId="0" applyFont="1" applyFill="1" applyBorder="1" applyAlignment="1">
      <alignment horizontal="center" wrapText="1"/>
    </xf>
    <xf numFmtId="11" fontId="12" fillId="0" borderId="1" xfId="0" applyNumberFormat="1" applyFont="1" applyFill="1" applyBorder="1" applyAlignment="1">
      <alignment horizontal="center"/>
    </xf>
    <xf numFmtId="0" fontId="0" fillId="0" borderId="4" xfId="0" applyFont="1" applyFill="1" applyBorder="1" applyAlignment="1">
      <alignment horizontal="center" vertical="center"/>
    </xf>
    <xf numFmtId="11" fontId="16" fillId="0" borderId="1" xfId="0" applyNumberFormat="1" applyFont="1" applyFill="1" applyBorder="1" applyAlignment="1">
      <alignment horizontal="center"/>
    </xf>
    <xf numFmtId="0" fontId="12" fillId="0" borderId="3" xfId="0" applyFont="1" applyFill="1" applyBorder="1" applyAlignment="1">
      <alignment horizontal="left" vertical="center" wrapText="1"/>
    </xf>
    <xf numFmtId="0" fontId="0" fillId="0" borderId="0" xfId="0" applyFill="1"/>
    <xf numFmtId="0" fontId="0" fillId="0" borderId="4" xfId="0" applyFill="1" applyBorder="1" applyAlignment="1">
      <alignment horizontal="center"/>
    </xf>
    <xf numFmtId="0" fontId="12" fillId="0" borderId="1" xfId="0" applyFont="1" applyFill="1" applyBorder="1"/>
    <xf numFmtId="0" fontId="12" fillId="0" borderId="1" xfId="0" applyFont="1" applyFill="1" applyBorder="1" applyAlignment="1" applyProtection="1">
      <alignment horizontal="left" vertical="center" wrapText="1"/>
      <protection locked="0"/>
    </xf>
    <xf numFmtId="0" fontId="0" fillId="0" borderId="0" xfId="0" applyFill="1" applyAlignment="1">
      <alignment horizontal="center"/>
    </xf>
    <xf numFmtId="0" fontId="0" fillId="0" borderId="0" xfId="0" applyFont="1" applyFill="1" applyBorder="1" applyAlignment="1">
      <alignment horizontal="center"/>
    </xf>
    <xf numFmtId="165" fontId="12" fillId="0" borderId="1" xfId="0" applyNumberFormat="1" applyFont="1" applyFill="1" applyBorder="1" applyAlignment="1">
      <alignment horizontal="center"/>
    </xf>
    <xf numFmtId="2" fontId="12" fillId="0" borderId="1" xfId="0" applyNumberFormat="1" applyFont="1" applyFill="1" applyBorder="1" applyAlignment="1">
      <alignment horizontal="center"/>
    </xf>
    <xf numFmtId="0" fontId="21" fillId="0" borderId="1" xfId="0" applyFont="1" applyFill="1" applyBorder="1" applyAlignment="1">
      <alignment horizontal="center"/>
    </xf>
    <xf numFmtId="0" fontId="12" fillId="0" borderId="1" xfId="0" applyFont="1" applyFill="1" applyBorder="1" applyAlignment="1">
      <alignment horizontal="left" vertical="center"/>
    </xf>
    <xf numFmtId="0" fontId="13" fillId="0" borderId="1" xfId="0" applyFont="1" applyFill="1" applyBorder="1" applyAlignment="1">
      <alignment horizontal="center" vertical="center"/>
    </xf>
    <xf numFmtId="0" fontId="13" fillId="0" borderId="4" xfId="0" applyFont="1" applyFill="1" applyBorder="1" applyAlignment="1">
      <alignment vertical="center"/>
    </xf>
    <xf numFmtId="0" fontId="13" fillId="6" borderId="12" xfId="0" applyFont="1" applyFill="1" applyBorder="1" applyAlignment="1">
      <alignment vertical="center"/>
    </xf>
    <xf numFmtId="0" fontId="13" fillId="0" borderId="6"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6" borderId="12" xfId="0" applyFont="1" applyFill="1" applyBorder="1" applyAlignment="1">
      <alignment horizontal="center" vertical="center" wrapText="1"/>
    </xf>
    <xf numFmtId="0" fontId="0" fillId="6" borderId="12" xfId="0" applyFont="1" applyFill="1" applyBorder="1" applyAlignment="1"/>
    <xf numFmtId="0" fontId="0" fillId="0" borderId="6" xfId="0" applyFont="1" applyFill="1" applyBorder="1" applyAlignment="1">
      <alignment horizontal="center"/>
    </xf>
    <xf numFmtId="0" fontId="0" fillId="0" borderId="1" xfId="0" applyFont="1" applyFill="1" applyBorder="1" applyAlignment="1">
      <alignment horizontal="center"/>
    </xf>
    <xf numFmtId="11" fontId="0" fillId="0" borderId="1" xfId="0" applyNumberFormat="1" applyFill="1" applyBorder="1" applyAlignment="1">
      <alignment horizontal="center"/>
    </xf>
    <xf numFmtId="0" fontId="0" fillId="6" borderId="12" xfId="0" applyFill="1" applyBorder="1" applyAlignment="1">
      <alignment horizontal="center"/>
    </xf>
    <xf numFmtId="0" fontId="0" fillId="0" borderId="6" xfId="0" applyFill="1" applyBorder="1" applyAlignment="1">
      <alignment horizontal="center"/>
    </xf>
    <xf numFmtId="0" fontId="12" fillId="6" borderId="12" xfId="0" applyFont="1" applyFill="1" applyBorder="1" applyAlignment="1"/>
    <xf numFmtId="0" fontId="0" fillId="0" borderId="0" xfId="0" applyFont="1" applyFill="1" applyAlignment="1">
      <alignment horizontal="center"/>
    </xf>
    <xf numFmtId="0" fontId="0" fillId="0" borderId="1" xfId="0" applyNumberFormat="1" applyFont="1" applyFill="1" applyBorder="1" applyAlignment="1">
      <alignment horizontal="center"/>
    </xf>
    <xf numFmtId="0" fontId="22" fillId="6" borderId="12" xfId="0" applyFont="1" applyFill="1" applyBorder="1" applyAlignment="1"/>
    <xf numFmtId="0" fontId="0" fillId="0" borderId="1" xfId="0" applyFill="1" applyBorder="1" applyAlignment="1">
      <alignment horizontal="center" wrapText="1"/>
    </xf>
    <xf numFmtId="0" fontId="23" fillId="6" borderId="12" xfId="0" applyFont="1" applyFill="1" applyBorder="1" applyAlignment="1"/>
    <xf numFmtId="0" fontId="12" fillId="0" borderId="6" xfId="0" applyFont="1" applyFill="1" applyBorder="1" applyAlignment="1">
      <alignment horizontal="center"/>
    </xf>
    <xf numFmtId="0" fontId="21" fillId="0" borderId="6" xfId="0" applyFont="1" applyFill="1" applyBorder="1" applyAlignment="1">
      <alignment horizontal="center"/>
    </xf>
    <xf numFmtId="0" fontId="21" fillId="0" borderId="4" xfId="0" applyFont="1" applyFill="1" applyBorder="1" applyAlignment="1">
      <alignment horizontal="center"/>
    </xf>
    <xf numFmtId="0" fontId="21" fillId="6" borderId="12" xfId="0" applyFont="1" applyFill="1" applyBorder="1" applyAlignment="1">
      <alignment horizontal="center"/>
    </xf>
    <xf numFmtId="0" fontId="0" fillId="6" borderId="12" xfId="0" applyFont="1" applyFill="1" applyBorder="1" applyAlignment="1">
      <alignment horizontal="justify" vertical="center"/>
    </xf>
    <xf numFmtId="0" fontId="23" fillId="6" borderId="12" xfId="0" applyFont="1" applyFill="1" applyBorder="1" applyAlignment="1">
      <alignment horizontal="justify" vertical="center"/>
    </xf>
    <xf numFmtId="0" fontId="0" fillId="6" borderId="12" xfId="0" applyFont="1" applyFill="1" applyBorder="1" applyAlignment="1">
      <alignment vertical="center"/>
    </xf>
    <xf numFmtId="172" fontId="0" fillId="0" borderId="1" xfId="0" applyNumberFormat="1" applyFont="1" applyFill="1" applyBorder="1" applyAlignment="1" applyProtection="1">
      <alignment horizontal="center" wrapText="1"/>
    </xf>
    <xf numFmtId="0" fontId="12" fillId="6" borderId="12" xfId="0" applyFont="1" applyFill="1" applyBorder="1" applyAlignment="1">
      <alignment horizontal="justify" vertical="center"/>
    </xf>
    <xf numFmtId="0" fontId="23" fillId="6" borderId="12" xfId="0" applyFont="1" applyFill="1" applyBorder="1" applyAlignment="1">
      <alignment vertical="center"/>
    </xf>
    <xf numFmtId="0" fontId="0" fillId="0" borderId="6" xfId="0" applyNumberFormat="1" applyFill="1" applyBorder="1" applyAlignment="1">
      <alignment horizontal="center"/>
    </xf>
    <xf numFmtId="0" fontId="12" fillId="6" borderId="12" xfId="0" applyFont="1" applyFill="1" applyBorder="1" applyAlignment="1">
      <alignment vertical="center"/>
    </xf>
    <xf numFmtId="0" fontId="0" fillId="6" borderId="12" xfId="0" applyFill="1" applyBorder="1" applyAlignment="1"/>
    <xf numFmtId="0" fontId="12" fillId="6" borderId="12" xfId="0" applyFont="1" applyFill="1" applyBorder="1" applyAlignment="1">
      <alignment horizontal="left" vertical="center"/>
    </xf>
    <xf numFmtId="0" fontId="12" fillId="6" borderId="12" xfId="0" applyFont="1" applyFill="1" applyBorder="1" applyAlignment="1" applyProtection="1">
      <alignment horizontal="left" vertical="center"/>
      <protection locked="0"/>
    </xf>
    <xf numFmtId="0" fontId="2" fillId="6" borderId="12" xfId="1" applyFont="1" applyFill="1" applyBorder="1"/>
    <xf numFmtId="0" fontId="27" fillId="6" borderId="12" xfId="1" applyFont="1" applyFill="1" applyBorder="1" applyAlignment="1">
      <alignment horizontal="center" vertical="center"/>
    </xf>
    <xf numFmtId="0" fontId="2" fillId="6" borderId="12" xfId="1" applyFont="1" applyFill="1" applyBorder="1" applyAlignment="1" applyProtection="1">
      <alignment horizontal="center" vertical="center" wrapText="1"/>
    </xf>
    <xf numFmtId="0" fontId="2" fillId="6" borderId="12" xfId="1" applyFont="1" applyFill="1" applyBorder="1" applyAlignment="1" applyProtection="1">
      <alignment horizontal="left" vertical="center"/>
    </xf>
    <xf numFmtId="0" fontId="2" fillId="6" borderId="12" xfId="1" applyFont="1" applyFill="1" applyBorder="1" applyAlignment="1">
      <alignment vertical="center" wrapText="1"/>
    </xf>
    <xf numFmtId="0" fontId="2" fillId="0" borderId="1" xfId="1" applyFont="1" applyFill="1" applyBorder="1" applyAlignment="1">
      <alignment horizontal="center" vertical="center" wrapText="1"/>
    </xf>
    <xf numFmtId="0" fontId="2" fillId="6" borderId="12" xfId="1" applyFont="1" applyFill="1" applyBorder="1" applyAlignment="1">
      <alignment horizontal="center" vertical="center"/>
    </xf>
    <xf numFmtId="0" fontId="2" fillId="0" borderId="1" xfId="1" applyFont="1" applyFill="1" applyBorder="1" applyAlignment="1">
      <alignment wrapText="1"/>
    </xf>
    <xf numFmtId="0" fontId="2" fillId="0" borderId="1" xfId="1" applyFont="1" applyFill="1" applyBorder="1" applyAlignment="1" applyProtection="1">
      <alignment horizontal="center" vertical="center" wrapText="1"/>
      <protection locked="0"/>
    </xf>
    <xf numFmtId="0" fontId="2" fillId="0" borderId="4" xfId="1" applyFont="1" applyFill="1" applyBorder="1" applyAlignment="1" applyProtection="1">
      <alignment horizontal="center" vertical="center" wrapText="1"/>
      <protection locked="0"/>
    </xf>
    <xf numFmtId="0" fontId="2" fillId="6" borderId="12" xfId="1" applyFont="1" applyFill="1" applyBorder="1" applyAlignment="1" applyProtection="1">
      <alignment horizontal="center" vertical="center" wrapText="1"/>
      <protection locked="0"/>
    </xf>
    <xf numFmtId="0" fontId="2" fillId="0" borderId="6" xfId="1" applyFont="1" applyFill="1" applyBorder="1" applyAlignment="1" applyProtection="1">
      <alignment horizontal="center" vertical="center" wrapText="1"/>
      <protection locked="0"/>
    </xf>
    <xf numFmtId="2" fontId="2" fillId="0" borderId="1" xfId="1" applyNumberFormat="1" applyFont="1" applyFill="1" applyBorder="1" applyAlignment="1" applyProtection="1">
      <alignment horizontal="center" vertical="center" wrapText="1"/>
      <protection locked="0"/>
    </xf>
    <xf numFmtId="0" fontId="2" fillId="0" borderId="1" xfId="1" applyNumberFormat="1" applyFont="1" applyFill="1" applyBorder="1" applyAlignment="1" applyProtection="1">
      <alignment horizontal="center" vertical="center" wrapText="1"/>
      <protection locked="0"/>
    </xf>
    <xf numFmtId="11" fontId="2" fillId="0" borderId="1" xfId="1" applyNumberFormat="1" applyFont="1" applyFill="1" applyBorder="1" applyAlignment="1" applyProtection="1">
      <alignment horizontal="left" vertical="center" wrapText="1"/>
      <protection locked="0"/>
    </xf>
    <xf numFmtId="11" fontId="2" fillId="0" borderId="1" xfId="1" applyNumberFormat="1" applyFont="1" applyFill="1" applyBorder="1" applyAlignment="1" applyProtection="1">
      <alignment horizontal="center" vertical="center" wrapText="1"/>
      <protection locked="0"/>
    </xf>
    <xf numFmtId="11" fontId="2" fillId="6" borderId="12" xfId="1" applyNumberFormat="1" applyFont="1" applyFill="1" applyBorder="1" applyAlignment="1" applyProtection="1">
      <alignment horizontal="center" vertical="center" wrapText="1"/>
      <protection locked="0"/>
    </xf>
    <xf numFmtId="0" fontId="2" fillId="0" borderId="1" xfId="1" applyFont="1" applyFill="1" applyBorder="1" applyAlignment="1">
      <alignment vertical="center"/>
    </xf>
    <xf numFmtId="0" fontId="2" fillId="0" borderId="1" xfId="1" applyFont="1" applyFill="1" applyBorder="1" applyAlignment="1" applyProtection="1">
      <alignment horizontal="left" vertical="center" wrapText="1"/>
      <protection locked="0"/>
    </xf>
    <xf numFmtId="0" fontId="2" fillId="0" borderId="6" xfId="1" applyFont="1" applyFill="1" applyBorder="1" applyAlignment="1" applyProtection="1">
      <alignment horizontal="left" vertical="center" wrapText="1"/>
      <protection locked="0"/>
    </xf>
    <xf numFmtId="0" fontId="2" fillId="0" borderId="1" xfId="1" applyNumberFormat="1" applyFont="1" applyFill="1" applyBorder="1" applyAlignment="1" applyProtection="1">
      <alignment horizontal="left" vertical="center" wrapText="1"/>
      <protection locked="0"/>
    </xf>
    <xf numFmtId="0" fontId="2" fillId="6" borderId="12" xfId="1" applyFont="1" applyFill="1" applyBorder="1" applyAlignment="1" applyProtection="1">
      <alignment horizontal="left" vertical="center" wrapText="1"/>
      <protection locked="0"/>
    </xf>
    <xf numFmtId="0" fontId="2" fillId="0" borderId="1" xfId="1" applyFont="1" applyFill="1" applyBorder="1" applyAlignment="1">
      <alignment vertical="center" wrapText="1"/>
    </xf>
    <xf numFmtId="0" fontId="2" fillId="0" borderId="1" xfId="1" quotePrefix="1" applyFont="1" applyFill="1" applyBorder="1" applyAlignment="1">
      <alignment vertical="center" wrapText="1"/>
    </xf>
    <xf numFmtId="0" fontId="2" fillId="0" borderId="1" xfId="1" applyFont="1" applyFill="1" applyBorder="1" applyAlignment="1">
      <alignment horizontal="left" vertical="center" wrapText="1"/>
    </xf>
    <xf numFmtId="0" fontId="2" fillId="0" borderId="1" xfId="1" quotePrefix="1" applyFont="1" applyFill="1" applyBorder="1" applyAlignment="1">
      <alignment horizontal="left" vertical="center" wrapText="1"/>
    </xf>
    <xf numFmtId="0" fontId="2" fillId="0" borderId="1" xfId="1" quotePrefix="1" applyFont="1" applyFill="1" applyBorder="1" applyAlignment="1">
      <alignment vertical="center"/>
    </xf>
    <xf numFmtId="2" fontId="2" fillId="0" borderId="1" xfId="1" applyNumberFormat="1" applyFont="1" applyFill="1" applyBorder="1" applyAlignment="1">
      <alignment horizontal="center" vertical="center" wrapText="1"/>
    </xf>
    <xf numFmtId="0" fontId="2" fillId="0" borderId="1" xfId="1" applyNumberFormat="1" applyFont="1" applyFill="1" applyBorder="1" applyAlignment="1">
      <alignment horizontal="center" vertical="center" wrapText="1"/>
    </xf>
    <xf numFmtId="11" fontId="2" fillId="0" borderId="1" xfId="1" applyNumberFormat="1" applyFont="1" applyFill="1" applyBorder="1" applyAlignment="1">
      <alignment horizontal="left" vertical="center" wrapText="1"/>
    </xf>
    <xf numFmtId="0" fontId="2" fillId="0" borderId="1" xfId="1" applyNumberFormat="1" applyFont="1" applyFill="1" applyBorder="1" applyAlignment="1">
      <alignment horizontal="left" vertical="center" wrapText="1"/>
    </xf>
    <xf numFmtId="0" fontId="2" fillId="0" borderId="1" xfId="1" quotePrefix="1" applyFont="1" applyFill="1" applyBorder="1" applyAlignment="1" applyProtection="1">
      <alignment horizontal="left" vertical="center" wrapText="1"/>
      <protection locked="0"/>
    </xf>
    <xf numFmtId="0" fontId="2" fillId="0" borderId="1" xfId="1" quotePrefix="1" applyNumberFormat="1" applyFont="1" applyFill="1" applyBorder="1" applyAlignment="1" applyProtection="1">
      <alignment horizontal="left" vertical="center" wrapText="1"/>
      <protection locked="0"/>
    </xf>
    <xf numFmtId="0" fontId="2" fillId="0" borderId="4" xfId="1" applyFont="1" applyFill="1" applyBorder="1" applyAlignment="1">
      <alignment horizontal="center" vertical="center" wrapText="1"/>
    </xf>
    <xf numFmtId="0" fontId="2" fillId="6" borderId="12" xfId="1" applyFont="1" applyFill="1" applyBorder="1" applyAlignment="1">
      <alignment horizontal="left" vertical="center" wrapText="1" indent="1"/>
    </xf>
    <xf numFmtId="2" fontId="2" fillId="0" borderId="6" xfId="1" applyNumberFormat="1" applyFont="1" applyFill="1" applyBorder="1" applyAlignment="1" applyProtection="1">
      <alignment horizontal="center" vertical="center" wrapText="1"/>
      <protection locked="0"/>
    </xf>
    <xf numFmtId="11" fontId="2" fillId="0" borderId="1" xfId="1" applyNumberFormat="1" applyFont="1" applyFill="1" applyBorder="1" applyAlignment="1">
      <alignment horizontal="center" vertical="center" wrapText="1"/>
    </xf>
    <xf numFmtId="0" fontId="2" fillId="0" borderId="6" xfId="1" applyFont="1" applyFill="1" applyBorder="1" applyAlignment="1">
      <alignment horizontal="left" vertical="center" wrapText="1"/>
    </xf>
    <xf numFmtId="0" fontId="2" fillId="0" borderId="6" xfId="1" applyFont="1" applyFill="1" applyBorder="1" applyAlignment="1">
      <alignment horizontal="center" vertical="center" wrapText="1"/>
    </xf>
    <xf numFmtId="0" fontId="2" fillId="0" borderId="1" xfId="1" applyFont="1" applyFill="1" applyBorder="1" applyAlignment="1" applyProtection="1">
      <alignment vertical="center" wrapText="1"/>
      <protection locked="0"/>
    </xf>
    <xf numFmtId="0" fontId="2" fillId="6" borderId="12" xfId="1" applyFont="1" applyFill="1" applyBorder="1" applyAlignment="1" applyProtection="1">
      <alignment vertical="center" wrapText="1"/>
      <protection locked="0"/>
    </xf>
    <xf numFmtId="0" fontId="2" fillId="0" borderId="1" xfId="1" quotePrefix="1" applyFont="1" applyFill="1" applyBorder="1" applyAlignment="1" applyProtection="1">
      <alignment horizontal="center" vertical="center" wrapText="1"/>
      <protection locked="0"/>
    </xf>
    <xf numFmtId="0" fontId="2" fillId="0" borderId="1" xfId="1" applyNumberFormat="1" applyFont="1" applyFill="1" applyBorder="1" applyAlignment="1">
      <alignment vertical="center" wrapText="1"/>
    </xf>
    <xf numFmtId="168" fontId="2" fillId="0" borderId="1" xfId="1" applyNumberFormat="1" applyFont="1" applyFill="1" applyBorder="1" applyAlignment="1" applyProtection="1">
      <alignment horizontal="center" vertical="center" wrapText="1"/>
      <protection locked="0"/>
    </xf>
    <xf numFmtId="49" fontId="2" fillId="0" borderId="4" xfId="1" applyNumberFormat="1" applyFont="1" applyFill="1" applyBorder="1" applyAlignment="1">
      <alignment horizontal="center" vertical="center" wrapText="1"/>
    </xf>
    <xf numFmtId="0" fontId="2" fillId="0" borderId="6" xfId="1" applyFont="1" applyFill="1" applyBorder="1" applyAlignment="1">
      <alignment vertical="center" wrapText="1"/>
    </xf>
    <xf numFmtId="11" fontId="2" fillId="0" borderId="1" xfId="1" applyNumberFormat="1" applyFont="1" applyFill="1" applyBorder="1" applyAlignment="1" applyProtection="1">
      <alignment vertical="center" wrapText="1"/>
      <protection locked="0"/>
    </xf>
    <xf numFmtId="11" fontId="2" fillId="6" borderId="12" xfId="1" applyNumberFormat="1" applyFont="1" applyFill="1" applyBorder="1" applyAlignment="1" applyProtection="1">
      <alignment vertical="center" wrapText="1"/>
      <protection locked="0"/>
    </xf>
    <xf numFmtId="11" fontId="2" fillId="0" borderId="1" xfId="6" applyNumberFormat="1" applyFont="1" applyFill="1" applyBorder="1" applyAlignment="1">
      <alignment horizontal="center" vertical="center" wrapText="1"/>
    </xf>
    <xf numFmtId="11" fontId="2" fillId="0" borderId="1" xfId="9" applyNumberFormat="1" applyFont="1" applyFill="1" applyBorder="1" applyAlignment="1">
      <alignment horizontal="center" vertical="center" wrapText="1"/>
    </xf>
    <xf numFmtId="0" fontId="2" fillId="6" borderId="12" xfId="1" applyFont="1" applyFill="1" applyBorder="1" applyAlignment="1" applyProtection="1">
      <alignment horizontal="left" vertical="center"/>
      <protection locked="0"/>
    </xf>
    <xf numFmtId="0" fontId="2" fillId="0" borderId="1" xfId="1" applyFont="1" applyFill="1" applyBorder="1"/>
    <xf numFmtId="11" fontId="2" fillId="0" borderId="1" xfId="1" applyNumberFormat="1" applyFont="1" applyFill="1" applyBorder="1"/>
    <xf numFmtId="0" fontId="2" fillId="0" borderId="0" xfId="1" applyFont="1" applyFill="1"/>
    <xf numFmtId="0" fontId="2" fillId="6" borderId="9" xfId="1" applyFont="1" applyFill="1" applyBorder="1"/>
    <xf numFmtId="11" fontId="12" fillId="0" borderId="1" xfId="0" applyNumberFormat="1" applyFont="1" applyFill="1" applyBorder="1" applyAlignment="1">
      <alignment horizontal="center" vertical="center"/>
    </xf>
    <xf numFmtId="0" fontId="0" fillId="0" borderId="4" xfId="0" applyBorder="1" applyAlignment="1">
      <alignment horizontal="center" vertical="center"/>
    </xf>
    <xf numFmtId="0" fontId="12" fillId="0" borderId="0" xfId="0" applyFont="1" applyFill="1" applyBorder="1" applyAlignment="1">
      <alignment horizontal="center"/>
    </xf>
    <xf numFmtId="0" fontId="0" fillId="0" borderId="1" xfId="0" applyFill="1" applyBorder="1"/>
    <xf numFmtId="0" fontId="12" fillId="0" borderId="1" xfId="0" applyFont="1" applyFill="1" applyBorder="1" applyAlignment="1">
      <alignment horizontal="left" wrapText="1"/>
    </xf>
    <xf numFmtId="11" fontId="12" fillId="0" borderId="1" xfId="0" applyNumberFormat="1" applyFont="1" applyFill="1" applyBorder="1" applyAlignment="1">
      <alignment horizontal="left" wrapText="1"/>
    </xf>
    <xf numFmtId="0" fontId="0" fillId="0" borderId="1" xfId="0" applyBorder="1" applyAlignment="1">
      <alignment horizontal="center" vertical="center"/>
    </xf>
    <xf numFmtId="0" fontId="17" fillId="0" borderId="1" xfId="0" applyFont="1" applyFill="1" applyBorder="1" applyAlignment="1" applyProtection="1">
      <alignment horizontal="center" vertical="center" wrapText="1"/>
      <protection hidden="1"/>
    </xf>
    <xf numFmtId="11" fontId="20" fillId="0" borderId="1" xfId="0" applyNumberFormat="1" applyFont="1" applyFill="1" applyBorder="1" applyAlignment="1">
      <alignment horizontal="center"/>
    </xf>
    <xf numFmtId="1" fontId="12" fillId="0" borderId="1" xfId="0" applyNumberFormat="1" applyFont="1" applyFill="1" applyBorder="1" applyAlignment="1">
      <alignment horizontal="center"/>
    </xf>
    <xf numFmtId="167" fontId="12" fillId="0" borderId="1" xfId="0" applyNumberFormat="1" applyFont="1" applyFill="1" applyBorder="1" applyAlignment="1">
      <alignment horizontal="center"/>
    </xf>
    <xf numFmtId="0" fontId="12" fillId="0" borderId="1" xfId="0" applyFont="1" applyFill="1" applyBorder="1" applyAlignment="1" applyProtection="1">
      <alignment horizontal="center" vertical="center" wrapText="1"/>
      <protection hidden="1"/>
    </xf>
    <xf numFmtId="0" fontId="12" fillId="0" borderId="1" xfId="0" applyFont="1" applyFill="1" applyBorder="1" applyAlignment="1">
      <alignment horizontal="left" vertical="center" wrapText="1"/>
    </xf>
    <xf numFmtId="0" fontId="4" fillId="0" borderId="0" xfId="0" applyFont="1" applyFill="1" applyAlignment="1">
      <alignment horizontal="center" vertical="center" wrapText="1"/>
    </xf>
    <xf numFmtId="0" fontId="12" fillId="0" borderId="1" xfId="0" applyFont="1" applyFill="1" applyBorder="1" applyAlignment="1" applyProtection="1">
      <alignment horizontal="center" vertical="center" wrapText="1"/>
      <protection locked="0"/>
    </xf>
    <xf numFmtId="0" fontId="12" fillId="0" borderId="0" xfId="0" applyFont="1" applyFill="1" applyAlignment="1">
      <alignment horizontal="center" vertical="center" wrapText="1"/>
    </xf>
    <xf numFmtId="0" fontId="12" fillId="0" borderId="0" xfId="0" applyFont="1" applyFill="1" applyAlignment="1">
      <alignment horizontal="left" vertical="center" wrapText="1"/>
    </xf>
    <xf numFmtId="0" fontId="12" fillId="0" borderId="3" xfId="0" applyFont="1" applyFill="1" applyBorder="1" applyAlignment="1">
      <alignment horizontal="left"/>
    </xf>
    <xf numFmtId="0" fontId="12" fillId="0" borderId="3" xfId="0" applyFont="1" applyFill="1" applyBorder="1" applyAlignment="1">
      <alignment horizontal="left" wrapText="1"/>
    </xf>
    <xf numFmtId="0" fontId="12" fillId="0" borderId="1" xfId="0" applyFont="1" applyFill="1" applyBorder="1" applyAlignment="1">
      <alignment horizontal="left"/>
    </xf>
    <xf numFmtId="0" fontId="0" fillId="0" borderId="1" xfId="0" applyFont="1" applyFill="1" applyBorder="1" applyAlignment="1">
      <alignment horizontal="left" wrapText="1"/>
    </xf>
    <xf numFmtId="0" fontId="0" fillId="0" borderId="1" xfId="0" applyFill="1" applyBorder="1" applyAlignment="1">
      <alignment vertical="center" wrapText="1"/>
    </xf>
    <xf numFmtId="0" fontId="0"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wrapText="1"/>
    </xf>
    <xf numFmtId="0" fontId="0" fillId="0" borderId="0" xfId="0" applyFill="1" applyAlignment="1">
      <alignment horizontal="center" vertical="center"/>
    </xf>
    <xf numFmtId="0" fontId="0" fillId="0" borderId="0" xfId="0" applyFont="1" applyFill="1" applyAlignment="1">
      <alignment horizontal="center" vertical="center" wrapText="1"/>
    </xf>
    <xf numFmtId="0" fontId="7" fillId="0" borderId="1" xfId="0" applyFont="1" applyFill="1" applyBorder="1" applyAlignment="1">
      <alignment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pplyProtection="1">
      <alignment horizontal="center" vertical="center" wrapText="1"/>
      <protection locked="0"/>
    </xf>
    <xf numFmtId="0" fontId="7" fillId="0" borderId="1" xfId="0" applyFont="1" applyFill="1" applyBorder="1" applyAlignment="1">
      <alignment horizontal="center"/>
    </xf>
    <xf numFmtId="0" fontId="7" fillId="0" borderId="1" xfId="0" applyFont="1" applyFill="1" applyBorder="1"/>
    <xf numFmtId="0" fontId="0" fillId="0" borderId="4" xfId="0" applyFill="1" applyBorder="1" applyAlignment="1">
      <alignment horizontal="center" vertical="center" wrapText="1"/>
    </xf>
    <xf numFmtId="0" fontId="0" fillId="0" borderId="1" xfId="0" applyFill="1" applyBorder="1" applyAlignment="1">
      <alignment horizontal="left" wrapText="1"/>
    </xf>
    <xf numFmtId="0" fontId="23" fillId="0" borderId="1" xfId="0" applyFont="1" applyFill="1" applyBorder="1" applyAlignment="1">
      <alignment horizontal="left" wrapText="1"/>
    </xf>
    <xf numFmtId="0" fontId="2" fillId="0" borderId="4" xfId="1" applyFont="1" applyFill="1" applyBorder="1"/>
    <xf numFmtId="0" fontId="2" fillId="6" borderId="9" xfId="1" applyFont="1" applyFill="1" applyBorder="1" applyAlignment="1">
      <alignment horizontal="center" vertical="center" wrapText="1"/>
    </xf>
    <xf numFmtId="0" fontId="2" fillId="6" borderId="9" xfId="1" applyFont="1" applyFill="1" applyBorder="1" applyAlignment="1" applyProtection="1">
      <alignment horizontal="center" vertical="center" wrapText="1"/>
      <protection locked="0"/>
    </xf>
    <xf numFmtId="49" fontId="2" fillId="0" borderId="1" xfId="1" applyNumberFormat="1" applyFont="1" applyFill="1" applyBorder="1" applyAlignment="1">
      <alignment horizontal="center" vertical="center" wrapText="1"/>
    </xf>
    <xf numFmtId="0" fontId="2" fillId="0" borderId="2" xfId="1" applyFont="1" applyFill="1" applyBorder="1"/>
    <xf numFmtId="0" fontId="2" fillId="0" borderId="7" xfId="1" applyFont="1" applyFill="1" applyBorder="1"/>
    <xf numFmtId="0" fontId="2" fillId="6" borderId="1" xfId="1" applyFont="1" applyFill="1" applyBorder="1"/>
    <xf numFmtId="0" fontId="2" fillId="0" borderId="0" xfId="1" applyFill="1"/>
    <xf numFmtId="11" fontId="2" fillId="0" borderId="4" xfId="1" applyNumberFormat="1" applyFont="1" applyFill="1" applyBorder="1" applyAlignment="1" applyProtection="1">
      <alignment vertical="center" wrapText="1"/>
      <protection locked="0"/>
    </xf>
    <xf numFmtId="0" fontId="2" fillId="0" borderId="4" xfId="1" applyFont="1" applyFill="1" applyBorder="1" applyAlignment="1">
      <alignment vertical="center" wrapText="1"/>
    </xf>
    <xf numFmtId="11" fontId="2" fillId="0" borderId="4" xfId="1" applyNumberFormat="1" applyFont="1" applyFill="1" applyBorder="1" applyAlignment="1" applyProtection="1">
      <alignment horizontal="center" vertical="center" wrapText="1"/>
      <protection locked="0"/>
    </xf>
    <xf numFmtId="0" fontId="2" fillId="0" borderId="4" xfId="1" applyFont="1" applyFill="1" applyBorder="1" applyAlignment="1" applyProtection="1">
      <alignment horizontal="left" vertical="center" wrapText="1"/>
      <protection locked="0"/>
    </xf>
    <xf numFmtId="0" fontId="2" fillId="0" borderId="4" xfId="1" applyFont="1" applyFill="1" applyBorder="1" applyAlignment="1">
      <alignment horizontal="left" vertical="center" wrapText="1"/>
    </xf>
    <xf numFmtId="11" fontId="2" fillId="0" borderId="4" xfId="1" applyNumberFormat="1" applyFont="1" applyFill="1" applyBorder="1" applyAlignment="1">
      <alignment horizontal="center" vertical="center" wrapText="1"/>
    </xf>
    <xf numFmtId="11" fontId="2" fillId="0" borderId="6" xfId="1" applyNumberFormat="1" applyFont="1" applyFill="1" applyBorder="1" applyAlignment="1" applyProtection="1">
      <alignment vertical="center" wrapText="1"/>
      <protection locked="0"/>
    </xf>
    <xf numFmtId="11" fontId="2" fillId="0" borderId="6" xfId="1" applyNumberFormat="1" applyFont="1" applyFill="1" applyBorder="1" applyAlignment="1" applyProtection="1">
      <alignment horizontal="center" vertical="center" wrapText="1"/>
      <protection locked="0"/>
    </xf>
    <xf numFmtId="11" fontId="2" fillId="0" borderId="6" xfId="1" applyNumberFormat="1" applyFont="1" applyFill="1" applyBorder="1" applyAlignment="1">
      <alignment horizontal="center" vertical="center" wrapText="1"/>
    </xf>
    <xf numFmtId="0" fontId="2" fillId="0" borderId="6" xfId="1" applyFont="1" applyFill="1" applyBorder="1"/>
    <xf numFmtId="0" fontId="26" fillId="6" borderId="2" xfId="1" applyFont="1" applyFill="1" applyBorder="1" applyAlignment="1">
      <alignment vertical="center" wrapText="1"/>
    </xf>
    <xf numFmtId="0" fontId="3" fillId="6" borderId="12" xfId="1" applyFont="1" applyFill="1" applyBorder="1" applyAlignment="1">
      <alignment vertical="center" wrapText="1"/>
    </xf>
    <xf numFmtId="0" fontId="11" fillId="6" borderId="12" xfId="1" applyFont="1" applyFill="1" applyBorder="1" applyAlignment="1" applyProtection="1">
      <alignment horizontal="center" vertical="center" wrapText="1"/>
    </xf>
    <xf numFmtId="11" fontId="2" fillId="6" borderId="12" xfId="1" applyNumberFormat="1" applyFont="1" applyFill="1" applyBorder="1" applyAlignment="1">
      <alignment horizontal="center" vertical="center" wrapText="1"/>
    </xf>
    <xf numFmtId="0" fontId="2" fillId="6" borderId="12" xfId="1" applyFont="1" applyFill="1" applyBorder="1" applyAlignment="1">
      <alignment horizontal="center" vertical="center" wrapText="1"/>
    </xf>
    <xf numFmtId="0" fontId="2" fillId="6" borderId="12" xfId="1" applyFont="1" applyFill="1" applyBorder="1" applyAlignment="1">
      <alignment horizontal="left" vertical="center" wrapText="1"/>
    </xf>
    <xf numFmtId="0" fontId="2" fillId="0" borderId="4" xfId="1" applyNumberFormat="1" applyFont="1" applyFill="1" applyBorder="1" applyAlignment="1" applyProtection="1">
      <alignment horizontal="center" vertical="center" wrapText="1"/>
      <protection locked="0"/>
    </xf>
    <xf numFmtId="2" fontId="2" fillId="0" borderId="4" xfId="1" applyNumberFormat="1" applyFont="1" applyFill="1" applyBorder="1" applyAlignment="1" applyProtection="1">
      <alignment horizontal="center" vertical="center" wrapText="1"/>
      <protection locked="0"/>
    </xf>
    <xf numFmtId="0" fontId="2" fillId="6" borderId="2" xfId="1" applyFont="1" applyFill="1" applyBorder="1"/>
    <xf numFmtId="0" fontId="2" fillId="6" borderId="12" xfId="1" applyFont="1" applyFill="1" applyBorder="1" applyAlignment="1" applyProtection="1">
      <alignment vertical="center"/>
    </xf>
    <xf numFmtId="0" fontId="2" fillId="6" borderId="12" xfId="1" applyFont="1" applyFill="1" applyBorder="1" applyAlignment="1" applyProtection="1">
      <alignment horizontal="center" vertical="center"/>
    </xf>
    <xf numFmtId="0" fontId="2" fillId="6" borderId="12" xfId="1" applyFont="1" applyFill="1" applyBorder="1" applyAlignment="1">
      <alignment horizontal="left"/>
    </xf>
    <xf numFmtId="0" fontId="2" fillId="6" borderId="12" xfId="1" applyFont="1" applyFill="1" applyBorder="1" applyAlignment="1">
      <alignment vertical="center"/>
    </xf>
    <xf numFmtId="0" fontId="2" fillId="6" borderId="12" xfId="1" applyFont="1" applyFill="1" applyBorder="1" applyAlignment="1">
      <alignment horizontal="left" vertical="center"/>
    </xf>
    <xf numFmtId="2" fontId="2" fillId="6" borderId="12" xfId="1" applyNumberFormat="1" applyFont="1" applyFill="1" applyBorder="1" applyAlignment="1">
      <alignment horizontal="center" vertical="center" wrapText="1"/>
    </xf>
    <xf numFmtId="2" fontId="2" fillId="6" borderId="12" xfId="1" applyNumberFormat="1" applyFont="1" applyFill="1" applyBorder="1" applyAlignment="1">
      <alignment horizontal="left" vertical="center" wrapText="1"/>
    </xf>
    <xf numFmtId="0" fontId="2" fillId="0" borderId="4" xfId="1" applyFont="1" applyFill="1" applyBorder="1" applyAlignment="1">
      <alignment vertical="center"/>
    </xf>
    <xf numFmtId="0" fontId="2" fillId="0" borderId="4" xfId="1" quotePrefix="1" applyFont="1" applyFill="1" applyBorder="1" applyAlignment="1">
      <alignment vertical="center"/>
    </xf>
    <xf numFmtId="0" fontId="2" fillId="6" borderId="2" xfId="1" applyFill="1" applyBorder="1"/>
    <xf numFmtId="0" fontId="2" fillId="6" borderId="12" xfId="1" applyFill="1" applyBorder="1"/>
    <xf numFmtId="0" fontId="2" fillId="0" borderId="6" xfId="1" applyFont="1" applyFill="1" applyBorder="1" applyAlignment="1">
      <alignment vertical="center"/>
    </xf>
    <xf numFmtId="0" fontId="2" fillId="0" borderId="6" xfId="1" quotePrefix="1" applyFont="1" applyFill="1" applyBorder="1" applyAlignment="1">
      <alignment vertical="center"/>
    </xf>
    <xf numFmtId="0" fontId="2" fillId="0" borderId="8" xfId="1" applyFont="1" applyFill="1" applyBorder="1"/>
    <xf numFmtId="0" fontId="2" fillId="6" borderId="12" xfId="1" quotePrefix="1" applyFont="1" applyFill="1" applyBorder="1" applyAlignment="1">
      <alignment vertical="center"/>
    </xf>
    <xf numFmtId="11" fontId="2" fillId="0" borderId="6" xfId="6" applyNumberFormat="1" applyFont="1" applyFill="1" applyBorder="1" applyAlignment="1">
      <alignment horizontal="center" vertical="center" wrapText="1"/>
    </xf>
    <xf numFmtId="0" fontId="2" fillId="0" borderId="6" xfId="1" quotePrefix="1" applyFont="1" applyFill="1" applyBorder="1" applyAlignment="1">
      <alignment vertical="center" wrapText="1"/>
    </xf>
    <xf numFmtId="11" fontId="2" fillId="6" borderId="12" xfId="6" applyNumberFormat="1" applyFont="1" applyFill="1" applyBorder="1" applyAlignment="1">
      <alignment horizontal="center" vertical="center" wrapText="1"/>
    </xf>
    <xf numFmtId="2" fontId="2" fillId="6" borderId="12" xfId="1" applyNumberFormat="1" applyFont="1" applyFill="1" applyBorder="1" applyAlignment="1" applyProtection="1">
      <alignment horizontal="center" vertical="center" wrapText="1"/>
      <protection locked="0"/>
    </xf>
    <xf numFmtId="0" fontId="2" fillId="6" borderId="12" xfId="1" quotePrefix="1" applyFont="1" applyFill="1" applyBorder="1" applyAlignment="1">
      <alignment vertical="center" wrapText="1"/>
    </xf>
    <xf numFmtId="0" fontId="23" fillId="0" borderId="1" xfId="0" applyFont="1" applyFill="1" applyBorder="1" applyAlignment="1">
      <alignment horizontal="center" wrapText="1"/>
    </xf>
    <xf numFmtId="2" fontId="12" fillId="0" borderId="1" xfId="0" applyNumberFormat="1" applyFont="1" applyFill="1" applyBorder="1" applyAlignment="1">
      <alignment horizontal="center" wrapText="1"/>
    </xf>
    <xf numFmtId="165" fontId="23" fillId="0" borderId="1" xfId="0" applyNumberFormat="1" applyFont="1" applyFill="1" applyBorder="1" applyAlignment="1">
      <alignment horizontal="center" wrapText="1"/>
    </xf>
    <xf numFmtId="0" fontId="0" fillId="0" borderId="1" xfId="0" applyFill="1" applyBorder="1" applyAlignment="1">
      <alignment horizontal="left" vertical="top" wrapText="1"/>
    </xf>
    <xf numFmtId="1" fontId="23" fillId="0" borderId="1" xfId="0" applyNumberFormat="1" applyFont="1" applyFill="1" applyBorder="1" applyAlignment="1">
      <alignment horizontal="center" wrapText="1"/>
    </xf>
    <xf numFmtId="0" fontId="48" fillId="0" borderId="1" xfId="0" applyFont="1" applyFill="1" applyBorder="1" applyAlignment="1">
      <alignment horizontal="center"/>
    </xf>
    <xf numFmtId="0" fontId="0" fillId="0" borderId="0" xfId="0" applyFill="1" applyBorder="1" applyAlignment="1">
      <alignment horizontal="center" vertical="center"/>
    </xf>
    <xf numFmtId="2" fontId="23" fillId="0" borderId="1" xfId="0" applyNumberFormat="1" applyFont="1" applyFill="1" applyBorder="1" applyAlignment="1">
      <alignment horizontal="center" wrapText="1"/>
    </xf>
    <xf numFmtId="0" fontId="0" fillId="6" borderId="12" xfId="0" applyFill="1" applyBorder="1"/>
    <xf numFmtId="0" fontId="48" fillId="0" borderId="6" xfId="0" applyFont="1" applyFill="1" applyBorder="1" applyAlignment="1">
      <alignment horizontal="center"/>
    </xf>
    <xf numFmtId="0" fontId="2" fillId="0" borderId="8" xfId="1" applyFont="1" applyFill="1" applyBorder="1" applyAlignment="1" applyProtection="1">
      <alignment horizontal="left" vertical="center" wrapText="1"/>
      <protection locked="0"/>
    </xf>
    <xf numFmtId="0" fontId="2" fillId="0" borderId="2" xfId="1" applyFont="1" applyFill="1" applyBorder="1" applyAlignment="1" applyProtection="1">
      <alignment horizontal="left" vertical="center" wrapText="1"/>
      <protection locked="0"/>
    </xf>
    <xf numFmtId="0" fontId="2" fillId="0" borderId="2" xfId="1" applyNumberFormat="1" applyFont="1" applyFill="1" applyBorder="1" applyAlignment="1" applyProtection="1">
      <alignment horizontal="left" vertical="center" wrapText="1"/>
      <protection locked="0"/>
    </xf>
    <xf numFmtId="11" fontId="2" fillId="0" borderId="2" xfId="1" applyNumberFormat="1" applyFont="1" applyFill="1" applyBorder="1" applyAlignment="1" applyProtection="1">
      <alignment horizontal="left" vertical="center" wrapText="1"/>
      <protection locked="0"/>
    </xf>
    <xf numFmtId="2" fontId="2" fillId="0" borderId="2" xfId="1" applyNumberFormat="1" applyFont="1" applyFill="1" applyBorder="1" applyAlignment="1" applyProtection="1">
      <alignment horizontal="center" vertical="center" wrapText="1"/>
      <protection locked="0"/>
    </xf>
    <xf numFmtId="0" fontId="2" fillId="0" borderId="7" xfId="1" applyNumberFormat="1" applyFont="1" applyFill="1" applyBorder="1" applyAlignment="1" applyProtection="1">
      <alignment horizontal="center" vertical="center" wrapText="1"/>
      <protection locked="0"/>
    </xf>
    <xf numFmtId="0" fontId="2" fillId="0" borderId="8" xfId="1" applyFont="1" applyFill="1" applyBorder="1" applyAlignment="1">
      <alignment vertical="center" wrapText="1"/>
    </xf>
    <xf numFmtId="0" fontId="2" fillId="0" borderId="2" xfId="1" applyFont="1" applyFill="1" applyBorder="1" applyAlignment="1">
      <alignment vertical="center" wrapText="1"/>
    </xf>
    <xf numFmtId="2" fontId="2" fillId="0" borderId="11" xfId="1" applyNumberFormat="1" applyFont="1" applyFill="1" applyBorder="1" applyAlignment="1" applyProtection="1">
      <alignment horizontal="center" vertical="center" wrapText="1"/>
      <protection locked="0"/>
    </xf>
    <xf numFmtId="11" fontId="2" fillId="0" borderId="13" xfId="1" applyNumberFormat="1" applyFont="1" applyFill="1" applyBorder="1" applyAlignment="1" applyProtection="1">
      <alignment horizontal="center" vertical="center" wrapText="1"/>
      <protection locked="0"/>
    </xf>
    <xf numFmtId="0" fontId="2" fillId="0" borderId="13" xfId="1" applyNumberFormat="1" applyFont="1" applyFill="1" applyBorder="1" applyAlignment="1" applyProtection="1">
      <alignment horizontal="center" vertical="center" wrapText="1"/>
      <protection locked="0"/>
    </xf>
    <xf numFmtId="11" fontId="2" fillId="0" borderId="13" xfId="1" applyNumberFormat="1" applyFont="1" applyFill="1" applyBorder="1" applyAlignment="1">
      <alignment horizontal="center" vertical="center" wrapText="1"/>
    </xf>
    <xf numFmtId="0" fontId="2" fillId="0" borderId="13" xfId="1" applyNumberFormat="1" applyFont="1" applyFill="1" applyBorder="1" applyAlignment="1">
      <alignment horizontal="center" vertical="center" wrapText="1"/>
    </xf>
    <xf numFmtId="2" fontId="2" fillId="0" borderId="13" xfId="1" applyNumberFormat="1" applyFont="1" applyFill="1" applyBorder="1" applyAlignment="1" applyProtection="1">
      <alignment horizontal="center" vertical="center" wrapText="1"/>
      <protection locked="0"/>
    </xf>
    <xf numFmtId="0" fontId="2" fillId="0" borderId="10" xfId="1" applyNumberFormat="1" applyFont="1" applyFill="1" applyBorder="1" applyAlignment="1" applyProtection="1">
      <alignment horizontal="center" vertical="center" wrapText="1"/>
      <protection locked="0"/>
    </xf>
    <xf numFmtId="11" fontId="2" fillId="0" borderId="11" xfId="1" applyNumberFormat="1" applyFont="1" applyFill="1" applyBorder="1" applyAlignment="1" applyProtection="1">
      <alignment vertical="center" wrapText="1"/>
      <protection locked="0"/>
    </xf>
    <xf numFmtId="11" fontId="2" fillId="0" borderId="13" xfId="1" applyNumberFormat="1" applyFont="1" applyFill="1" applyBorder="1" applyAlignment="1" applyProtection="1">
      <alignment vertical="center" wrapText="1"/>
      <protection locked="0"/>
    </xf>
    <xf numFmtId="0" fontId="2" fillId="0" borderId="13" xfId="1" applyFont="1" applyFill="1" applyBorder="1" applyAlignment="1" applyProtection="1">
      <alignment horizontal="center" vertical="center" wrapText="1"/>
      <protection locked="0"/>
    </xf>
    <xf numFmtId="0" fontId="2" fillId="0" borderId="11" xfId="1" applyFont="1" applyFill="1" applyBorder="1" applyAlignment="1" applyProtection="1">
      <alignment horizontal="center" vertical="center" wrapText="1"/>
      <protection locked="0"/>
    </xf>
    <xf numFmtId="2" fontId="2" fillId="0" borderId="10" xfId="1" applyNumberFormat="1" applyFont="1" applyFill="1" applyBorder="1" applyAlignment="1" applyProtection="1">
      <alignment horizontal="center" vertical="center" wrapText="1"/>
      <protection locked="0"/>
    </xf>
    <xf numFmtId="11" fontId="2" fillId="0" borderId="11" xfId="1" applyNumberFormat="1" applyFont="1" applyFill="1" applyBorder="1" applyAlignment="1" applyProtection="1">
      <alignment horizontal="center" vertical="center" wrapText="1"/>
      <protection locked="0"/>
    </xf>
    <xf numFmtId="11" fontId="2" fillId="0" borderId="2" xfId="1" applyNumberFormat="1" applyFont="1" applyFill="1" applyBorder="1" applyAlignment="1">
      <alignment horizontal="left" vertical="center" wrapText="1"/>
    </xf>
    <xf numFmtId="0" fontId="2" fillId="0" borderId="2" xfId="1" applyFont="1" applyFill="1" applyBorder="1" applyAlignment="1">
      <alignment horizontal="left" vertical="center" wrapText="1"/>
    </xf>
    <xf numFmtId="0" fontId="2" fillId="0" borderId="2" xfId="1" applyNumberFormat="1" applyFont="1" applyFill="1" applyBorder="1" applyAlignment="1">
      <alignment horizontal="left" vertical="center" wrapText="1"/>
    </xf>
    <xf numFmtId="0" fontId="2" fillId="0" borderId="2" xfId="1" quotePrefix="1" applyNumberFormat="1" applyFont="1" applyFill="1" applyBorder="1" applyAlignment="1" applyProtection="1">
      <alignment horizontal="left" vertical="center" wrapText="1"/>
      <protection locked="0"/>
    </xf>
    <xf numFmtId="2" fontId="2" fillId="0" borderId="7" xfId="1" applyNumberFormat="1" applyFont="1" applyFill="1" applyBorder="1" applyAlignment="1" applyProtection="1">
      <alignment horizontal="center" vertical="center" wrapText="1"/>
      <protection locked="0"/>
    </xf>
    <xf numFmtId="0" fontId="2" fillId="0" borderId="13" xfId="1" applyFont="1" applyFill="1" applyBorder="1" applyAlignment="1">
      <alignment horizontal="center" vertical="center" wrapText="1"/>
    </xf>
    <xf numFmtId="0" fontId="2" fillId="0" borderId="8" xfId="1" quotePrefix="1" applyFont="1" applyFill="1" applyBorder="1" applyAlignment="1">
      <alignment vertical="center"/>
    </xf>
    <xf numFmtId="0" fontId="2" fillId="0" borderId="7" xfId="1" quotePrefix="1" applyFont="1" applyFill="1" applyBorder="1" applyAlignment="1">
      <alignment vertical="center"/>
    </xf>
    <xf numFmtId="0" fontId="2" fillId="0" borderId="11" xfId="1" applyFont="1" applyFill="1" applyBorder="1" applyAlignment="1">
      <alignment vertical="center"/>
    </xf>
    <xf numFmtId="0" fontId="2" fillId="0" borderId="10" xfId="1" applyFont="1" applyFill="1" applyBorder="1" applyAlignment="1">
      <alignment vertical="center"/>
    </xf>
    <xf numFmtId="0" fontId="0" fillId="0" borderId="4" xfId="0" applyFont="1" applyFill="1" applyBorder="1"/>
    <xf numFmtId="0" fontId="0" fillId="0" borderId="4" xfId="0" applyFill="1" applyBorder="1"/>
    <xf numFmtId="0" fontId="0" fillId="0" borderId="4" xfId="0" applyFill="1" applyBorder="1" applyAlignment="1">
      <alignment vertical="center"/>
    </xf>
    <xf numFmtId="0" fontId="0" fillId="0" borderId="4" xfId="0" applyFill="1" applyBorder="1" applyAlignment="1">
      <alignment wrapText="1"/>
    </xf>
    <xf numFmtId="0" fontId="0" fillId="0" borderId="4" xfId="0" applyFont="1" applyFill="1" applyBorder="1" applyAlignment="1">
      <alignment wrapText="1"/>
    </xf>
    <xf numFmtId="0" fontId="0" fillId="0" borderId="1" xfId="0" applyFill="1" applyBorder="1" applyAlignment="1">
      <alignment horizontal="left"/>
    </xf>
    <xf numFmtId="0" fontId="17" fillId="0" borderId="0"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center" vertical="center" wrapText="1"/>
      <protection hidden="1"/>
    </xf>
    <xf numFmtId="11" fontId="0" fillId="0" borderId="4" xfId="0" applyNumberFormat="1" applyFill="1" applyBorder="1" applyAlignment="1">
      <alignment horizontal="center"/>
    </xf>
    <xf numFmtId="2" fontId="48" fillId="0" borderId="1" xfId="0" applyNumberFormat="1" applyFont="1" applyFill="1" applyBorder="1" applyAlignment="1">
      <alignment horizontal="center"/>
    </xf>
    <xf numFmtId="165" fontId="48" fillId="0" borderId="4" xfId="0" applyNumberFormat="1" applyFont="1" applyFill="1" applyBorder="1" applyAlignment="1">
      <alignment horizontal="center"/>
    </xf>
    <xf numFmtId="165" fontId="48" fillId="0" borderId="6" xfId="0" applyNumberFormat="1" applyFont="1" applyFill="1" applyBorder="1" applyAlignment="1">
      <alignment horizontal="center"/>
    </xf>
    <xf numFmtId="0" fontId="12" fillId="0" borderId="1" xfId="0" applyFont="1" applyFill="1" applyBorder="1" applyAlignment="1">
      <alignment wrapText="1"/>
    </xf>
    <xf numFmtId="166" fontId="48" fillId="0" borderId="1" xfId="0" applyNumberFormat="1" applyFont="1" applyFill="1" applyBorder="1" applyAlignment="1">
      <alignment horizontal="center"/>
    </xf>
    <xf numFmtId="2" fontId="48" fillId="0" borderId="4" xfId="0" applyNumberFormat="1" applyFont="1" applyFill="1" applyBorder="1" applyAlignment="1">
      <alignment horizontal="center"/>
    </xf>
    <xf numFmtId="2" fontId="48" fillId="0" borderId="6" xfId="0" applyNumberFormat="1" applyFont="1" applyFill="1" applyBorder="1" applyAlignment="1">
      <alignment horizontal="center"/>
    </xf>
    <xf numFmtId="0" fontId="2" fillId="0" borderId="1" xfId="1" applyFill="1" applyBorder="1"/>
    <xf numFmtId="0" fontId="41" fillId="0" borderId="1" xfId="0" applyFont="1" applyFill="1" applyBorder="1" applyAlignment="1">
      <alignment horizontal="center" vertical="center" wrapText="1"/>
    </xf>
    <xf numFmtId="0" fontId="41" fillId="0" borderId="1" xfId="0" applyFont="1" applyFill="1" applyBorder="1" applyAlignment="1">
      <alignment horizontal="center" vertical="center"/>
    </xf>
    <xf numFmtId="0" fontId="2" fillId="0" borderId="4" xfId="1" quotePrefix="1" applyFont="1" applyFill="1" applyBorder="1" applyAlignment="1">
      <alignment vertical="center" wrapText="1"/>
    </xf>
    <xf numFmtId="0" fontId="2" fillId="0" borderId="1" xfId="1" applyFill="1" applyBorder="1" applyAlignment="1">
      <alignment wrapText="1"/>
    </xf>
    <xf numFmtId="0" fontId="50" fillId="0" borderId="1"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40" fillId="0" borderId="1" xfId="0" applyFont="1" applyFill="1" applyBorder="1" applyAlignment="1">
      <alignment horizontal="center" vertical="center" wrapText="1"/>
    </xf>
    <xf numFmtId="0" fontId="2" fillId="0" borderId="2" xfId="1" applyFill="1" applyBorder="1"/>
    <xf numFmtId="0" fontId="41" fillId="0" borderId="1" xfId="0" applyFont="1" applyFill="1" applyBorder="1" applyAlignment="1">
      <alignment horizontal="center" wrapText="1"/>
    </xf>
    <xf numFmtId="0" fontId="2" fillId="0" borderId="1" xfId="0" applyFont="1" applyFill="1" applyBorder="1" applyAlignment="1">
      <alignment horizontal="center" wrapText="1"/>
    </xf>
    <xf numFmtId="0" fontId="41" fillId="0" borderId="1" xfId="0" applyFont="1" applyFill="1" applyBorder="1" applyAlignment="1">
      <alignment horizontal="center"/>
    </xf>
    <xf numFmtId="11" fontId="2" fillId="0" borderId="4" xfId="1" applyNumberFormat="1" applyFont="1" applyFill="1" applyBorder="1" applyAlignment="1">
      <alignment vertical="center"/>
    </xf>
    <xf numFmtId="11" fontId="41" fillId="0" borderId="1" xfId="0" applyNumberFormat="1" applyFont="1" applyFill="1" applyBorder="1" applyAlignment="1">
      <alignment horizontal="center" vertical="center" wrapText="1"/>
    </xf>
    <xf numFmtId="0" fontId="49" fillId="0" borderId="1" xfId="0" applyFont="1" applyFill="1" applyBorder="1" applyAlignment="1">
      <alignment horizontal="center" wrapText="1"/>
    </xf>
    <xf numFmtId="0" fontId="50" fillId="0" borderId="1" xfId="0" applyFont="1" applyFill="1" applyBorder="1" applyAlignment="1">
      <alignment horizontal="center"/>
    </xf>
    <xf numFmtId="0" fontId="50" fillId="0" borderId="1" xfId="0" applyFont="1" applyFill="1" applyBorder="1" applyAlignment="1">
      <alignment horizontal="center" wrapText="1"/>
    </xf>
    <xf numFmtId="0" fontId="2" fillId="0" borderId="13" xfId="1" applyFill="1" applyBorder="1"/>
    <xf numFmtId="11" fontId="0" fillId="0" borderId="1" xfId="0" applyNumberFormat="1" applyFill="1" applyBorder="1" applyAlignment="1">
      <alignment horizontal="center" vertical="center" wrapText="1"/>
    </xf>
    <xf numFmtId="0" fontId="20" fillId="0" borderId="1" xfId="0" applyFont="1" applyFill="1" applyBorder="1" applyAlignment="1">
      <alignment horizontal="center" wrapText="1"/>
    </xf>
    <xf numFmtId="0" fontId="48" fillId="0" borderId="1" xfId="0" applyFont="1" applyFill="1" applyBorder="1" applyAlignment="1">
      <alignment horizontal="center" vertical="center" wrapText="1"/>
    </xf>
    <xf numFmtId="168" fontId="2" fillId="0" borderId="4" xfId="1" applyNumberFormat="1" applyFont="1" applyFill="1" applyBorder="1" applyAlignment="1">
      <alignment vertical="center"/>
    </xf>
    <xf numFmtId="49" fontId="41" fillId="0" borderId="2" xfId="0" applyNumberFormat="1" applyFont="1" applyFill="1" applyBorder="1" applyAlignment="1">
      <alignment horizontal="center" vertical="center" wrapText="1"/>
    </xf>
    <xf numFmtId="0" fontId="52" fillId="0" borderId="1" xfId="0" applyFont="1" applyFill="1" applyBorder="1" applyAlignment="1">
      <alignment horizontal="center" wrapText="1"/>
    </xf>
    <xf numFmtId="0" fontId="54" fillId="0" borderId="1" xfId="0" applyFont="1" applyFill="1" applyBorder="1" applyAlignment="1">
      <alignment horizontal="center" wrapText="1"/>
    </xf>
    <xf numFmtId="167" fontId="2" fillId="0" borderId="6" xfId="1" applyNumberFormat="1" applyFont="1" applyFill="1" applyBorder="1" applyAlignment="1">
      <alignment horizontal="center" vertical="center" wrapText="1"/>
    </xf>
    <xf numFmtId="167" fontId="2" fillId="0" borderId="1" xfId="1" applyNumberFormat="1" applyFont="1" applyFill="1" applyBorder="1" applyAlignment="1">
      <alignment horizontal="center" vertical="center" wrapText="1"/>
    </xf>
    <xf numFmtId="0" fontId="2" fillId="0" borderId="4" xfId="1" applyFont="1" applyFill="1" applyBorder="1" applyAlignment="1">
      <alignment wrapText="1"/>
    </xf>
    <xf numFmtId="2" fontId="2" fillId="0" borderId="1" xfId="1" applyNumberFormat="1" applyFont="1" applyFill="1" applyBorder="1" applyAlignment="1" applyProtection="1">
      <alignment horizontal="left" vertical="center" wrapText="1"/>
      <protection locked="0"/>
    </xf>
    <xf numFmtId="0" fontId="41" fillId="0" borderId="1" xfId="0" applyFont="1" applyFill="1" applyBorder="1" applyAlignment="1">
      <alignment horizontal="left" vertical="center" wrapText="1"/>
    </xf>
    <xf numFmtId="11" fontId="41" fillId="0" borderId="1" xfId="0" applyNumberFormat="1" applyFont="1" applyFill="1" applyBorder="1" applyAlignment="1">
      <alignment horizontal="center" vertical="center"/>
    </xf>
    <xf numFmtId="172" fontId="41" fillId="0" borderId="4" xfId="0" applyNumberFormat="1" applyFont="1" applyFill="1" applyBorder="1" applyAlignment="1">
      <alignment horizontal="center" vertical="center" wrapText="1"/>
    </xf>
    <xf numFmtId="49" fontId="41"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73" fontId="2" fillId="0" borderId="1" xfId="0" applyNumberFormat="1" applyFont="1" applyFill="1" applyBorder="1" applyAlignment="1">
      <alignment horizontal="center" wrapText="1"/>
    </xf>
    <xf numFmtId="173" fontId="49" fillId="0" borderId="1" xfId="0" applyNumberFormat="1" applyFont="1" applyFill="1" applyBorder="1" applyAlignment="1">
      <alignment horizontal="center" wrapText="1"/>
    </xf>
    <xf numFmtId="1" fontId="49" fillId="0" borderId="1" xfId="0" applyNumberFormat="1" applyFont="1" applyFill="1" applyBorder="1" applyAlignment="1">
      <alignment horizontal="center" wrapText="1"/>
    </xf>
    <xf numFmtId="0" fontId="49" fillId="0" borderId="1" xfId="1" applyFont="1" applyFill="1" applyBorder="1" applyAlignment="1" applyProtection="1">
      <alignment horizontal="center" wrapText="1"/>
      <protection locked="0"/>
    </xf>
    <xf numFmtId="0" fontId="12" fillId="0" borderId="0" xfId="0" applyFont="1" applyFill="1" applyBorder="1" applyAlignment="1">
      <alignment horizontal="center" vertical="center" wrapText="1"/>
    </xf>
    <xf numFmtId="11" fontId="41" fillId="0" borderId="1" xfId="0" applyNumberFormat="1" applyFont="1" applyFill="1" applyBorder="1" applyAlignment="1">
      <alignment horizontal="center" wrapText="1"/>
    </xf>
    <xf numFmtId="0" fontId="48" fillId="0" borderId="0" xfId="0" applyFont="1" applyFill="1"/>
    <xf numFmtId="0" fontId="2" fillId="0" borderId="0" xfId="1" applyFont="1" applyFill="1" applyBorder="1" applyAlignment="1" applyProtection="1">
      <alignment horizontal="center" vertical="center" wrapText="1"/>
      <protection locked="0"/>
    </xf>
    <xf numFmtId="0" fontId="12" fillId="0" borderId="0" xfId="0" quotePrefix="1" applyFont="1" applyFill="1" applyBorder="1" applyAlignment="1">
      <alignment horizontal="center" vertical="center"/>
    </xf>
    <xf numFmtId="11" fontId="2" fillId="0" borderId="1" xfId="0" applyNumberFormat="1" applyFont="1" applyFill="1" applyBorder="1" applyAlignment="1">
      <alignment horizontal="center" wrapText="1"/>
    </xf>
    <xf numFmtId="1" fontId="41" fillId="0" borderId="1" xfId="0" applyNumberFormat="1" applyFont="1" applyFill="1" applyBorder="1" applyAlignment="1">
      <alignment horizontal="center" vertical="center"/>
    </xf>
    <xf numFmtId="167" fontId="41" fillId="0" borderId="4" xfId="0" applyNumberFormat="1" applyFont="1" applyFill="1" applyBorder="1" applyAlignment="1">
      <alignment horizontal="center" vertical="center" wrapText="1"/>
    </xf>
    <xf numFmtId="1" fontId="2" fillId="0" borderId="4" xfId="1" applyNumberFormat="1" applyFont="1" applyFill="1" applyBorder="1" applyAlignment="1" applyProtection="1">
      <alignment horizontal="center" vertical="center" wrapText="1"/>
      <protection locked="0"/>
    </xf>
    <xf numFmtId="1" fontId="41" fillId="0" borderId="1" xfId="0" applyNumberFormat="1" applyFont="1" applyFill="1" applyBorder="1" applyAlignment="1">
      <alignment horizontal="center" vertical="center" wrapText="1"/>
    </xf>
    <xf numFmtId="1" fontId="41" fillId="0" borderId="4" xfId="0" applyNumberFormat="1" applyFont="1" applyFill="1" applyBorder="1" applyAlignment="1">
      <alignment horizontal="center" vertical="center" wrapText="1"/>
    </xf>
    <xf numFmtId="0" fontId="12" fillId="0" borderId="0" xfId="0" applyFont="1" applyFill="1" applyBorder="1" applyAlignment="1">
      <alignment horizontal="center" wrapText="1"/>
    </xf>
    <xf numFmtId="0" fontId="20" fillId="0" borderId="0" xfId="0" applyFont="1" applyFill="1" applyBorder="1" applyAlignment="1">
      <alignment horizontal="center" wrapText="1"/>
    </xf>
    <xf numFmtId="0" fontId="48" fillId="0" borderId="0" xfId="0" applyFont="1" applyFill="1" applyAlignment="1">
      <alignment horizontal="center" vertical="center" wrapText="1"/>
    </xf>
    <xf numFmtId="0" fontId="2" fillId="0" borderId="4" xfId="1" applyFont="1" applyFill="1" applyBorder="1" applyAlignment="1">
      <alignment horizontal="center" vertical="center"/>
    </xf>
    <xf numFmtId="0" fontId="2" fillId="0" borderId="1" xfId="1" applyFill="1" applyBorder="1" applyAlignment="1">
      <alignment horizontal="center" vertical="center"/>
    </xf>
    <xf numFmtId="0" fontId="2" fillId="0" borderId="1" xfId="1" quotePrefix="1" applyFont="1" applyFill="1" applyBorder="1" applyAlignment="1">
      <alignment horizontal="center" vertical="center" wrapText="1"/>
    </xf>
    <xf numFmtId="0" fontId="2" fillId="0" borderId="1" xfId="1" quotePrefix="1" applyFont="1" applyFill="1" applyBorder="1" applyAlignment="1">
      <alignment horizontal="center" vertical="center"/>
    </xf>
    <xf numFmtId="0" fontId="2" fillId="0" borderId="4" xfId="1" quotePrefix="1" applyFont="1" applyFill="1" applyBorder="1" applyAlignment="1">
      <alignment horizontal="center" vertical="center" wrapText="1"/>
    </xf>
    <xf numFmtId="173" fontId="53" fillId="0" borderId="1" xfId="0" applyNumberFormat="1" applyFont="1" applyFill="1" applyBorder="1" applyAlignment="1">
      <alignment horizontal="center"/>
    </xf>
    <xf numFmtId="0" fontId="2" fillId="0" borderId="3" xfId="1" applyFont="1" applyFill="1" applyBorder="1" applyAlignment="1" applyProtection="1">
      <alignment horizontal="left" vertical="center" wrapText="1"/>
      <protection locked="0"/>
    </xf>
    <xf numFmtId="0" fontId="2" fillId="0" borderId="1" xfId="1" applyFont="1" applyFill="1" applyBorder="1" applyAlignment="1">
      <alignment horizontal="center" vertical="center"/>
    </xf>
    <xf numFmtId="173" fontId="20" fillId="0" borderId="1" xfId="0" applyNumberFormat="1" applyFont="1" applyFill="1" applyBorder="1" applyAlignment="1">
      <alignment horizontal="center" wrapText="1"/>
    </xf>
    <xf numFmtId="2" fontId="50" fillId="0" borderId="4" xfId="0" applyNumberFormat="1" applyFont="1" applyFill="1" applyBorder="1" applyAlignment="1">
      <alignment horizontal="center" vertical="center" wrapText="1"/>
    </xf>
    <xf numFmtId="2" fontId="41" fillId="0" borderId="1" xfId="0" applyNumberFormat="1" applyFont="1" applyFill="1" applyBorder="1" applyAlignment="1">
      <alignment horizontal="center" vertical="center" wrapText="1"/>
    </xf>
    <xf numFmtId="165" fontId="41" fillId="0" borderId="1" xfId="0" applyNumberFormat="1" applyFont="1" applyFill="1" applyBorder="1" applyAlignment="1">
      <alignment horizontal="center" vertical="center" wrapText="1"/>
    </xf>
    <xf numFmtId="1" fontId="50" fillId="0" borderId="4" xfId="0" applyNumberFormat="1" applyFont="1" applyFill="1" applyBorder="1" applyAlignment="1">
      <alignment horizontal="center" vertical="center" wrapText="1"/>
    </xf>
    <xf numFmtId="0" fontId="51" fillId="0" borderId="1" xfId="0" applyFont="1" applyFill="1" applyBorder="1" applyAlignment="1">
      <alignment horizontal="center" wrapText="1"/>
    </xf>
    <xf numFmtId="2" fontId="41" fillId="0" borderId="4" xfId="0" applyNumberFormat="1" applyFont="1" applyFill="1" applyBorder="1" applyAlignment="1">
      <alignment horizontal="center" vertical="center" wrapText="1"/>
    </xf>
    <xf numFmtId="171" fontId="41" fillId="0" borderId="4" xfId="0" applyNumberFormat="1" applyFont="1" applyFill="1" applyBorder="1" applyAlignment="1">
      <alignment horizontal="center" vertical="center" wrapText="1"/>
    </xf>
    <xf numFmtId="170" fontId="41" fillId="0" borderId="4" xfId="0" applyNumberFormat="1" applyFont="1" applyFill="1" applyBorder="1" applyAlignment="1">
      <alignment horizontal="center" vertical="center" wrapText="1"/>
    </xf>
    <xf numFmtId="174" fontId="2" fillId="0" borderId="2" xfId="1" applyNumberFormat="1" applyFont="1" applyFill="1" applyBorder="1"/>
    <xf numFmtId="175" fontId="2" fillId="0" borderId="7" xfId="1" applyNumberFormat="1" applyFont="1" applyFill="1" applyBorder="1"/>
    <xf numFmtId="166" fontId="41" fillId="0" borderId="1" xfId="0" applyNumberFormat="1" applyFont="1" applyFill="1" applyBorder="1" applyAlignment="1">
      <alignment horizontal="center" vertical="center" wrapText="1"/>
    </xf>
    <xf numFmtId="167" fontId="41" fillId="0" borderId="1" xfId="0" applyNumberFormat="1" applyFont="1" applyFill="1" applyBorder="1" applyAlignment="1">
      <alignment horizontal="center" vertical="center" wrapText="1"/>
    </xf>
    <xf numFmtId="165" fontId="41" fillId="0" borderId="4" xfId="0" applyNumberFormat="1" applyFont="1" applyFill="1" applyBorder="1" applyAlignment="1">
      <alignment horizontal="center" vertical="center" wrapText="1"/>
    </xf>
    <xf numFmtId="0" fontId="51" fillId="0" borderId="1" xfId="0" applyFont="1" applyFill="1" applyBorder="1" applyAlignment="1">
      <alignment horizontal="center"/>
    </xf>
    <xf numFmtId="1" fontId="41" fillId="0" borderId="7" xfId="0" applyNumberFormat="1" applyFont="1" applyFill="1" applyBorder="1" applyAlignment="1">
      <alignment horizontal="center" vertical="center" wrapText="1"/>
    </xf>
    <xf numFmtId="176" fontId="2" fillId="0" borderId="2" xfId="1" applyNumberFormat="1" applyFont="1" applyFill="1" applyBorder="1"/>
    <xf numFmtId="176" fontId="2" fillId="0" borderId="7" xfId="1" applyNumberFormat="1" applyFont="1" applyFill="1" applyBorder="1"/>
    <xf numFmtId="2" fontId="50" fillId="0" borderId="1"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49" fontId="41" fillId="0" borderId="4" xfId="0" applyNumberFormat="1" applyFont="1" applyFill="1" applyBorder="1" applyAlignment="1">
      <alignment horizontal="center" vertical="center" wrapText="1"/>
    </xf>
    <xf numFmtId="167" fontId="41" fillId="0" borderId="1" xfId="0" applyNumberFormat="1" applyFont="1" applyFill="1" applyBorder="1" applyAlignment="1">
      <alignment horizontal="center" vertical="center"/>
    </xf>
    <xf numFmtId="0" fontId="2" fillId="0" borderId="2" xfId="1" applyFont="1" applyFill="1" applyBorder="1" applyAlignment="1" applyProtection="1">
      <alignment horizontal="center" vertical="center" wrapText="1"/>
      <protection locked="0"/>
    </xf>
    <xf numFmtId="177" fontId="2" fillId="0" borderId="2" xfId="0" applyNumberFormat="1" applyFont="1" applyFill="1" applyBorder="1" applyAlignment="1">
      <alignment horizontal="center" vertical="center" wrapText="1"/>
    </xf>
    <xf numFmtId="168" fontId="41" fillId="0" borderId="4"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178" fontId="2" fillId="0" borderId="2" xfId="0" applyNumberFormat="1" applyFont="1" applyFill="1" applyBorder="1" applyAlignment="1">
      <alignment horizontal="center" vertical="center" wrapText="1"/>
    </xf>
    <xf numFmtId="169" fontId="41" fillId="0" borderId="1" xfId="0" applyNumberFormat="1" applyFont="1" applyFill="1" applyBorder="1" applyAlignment="1">
      <alignment horizontal="center" vertical="center"/>
    </xf>
    <xf numFmtId="0" fontId="41" fillId="0" borderId="2" xfId="0" applyFont="1" applyFill="1" applyBorder="1" applyAlignment="1">
      <alignment horizontal="center" vertical="center"/>
    </xf>
    <xf numFmtId="0" fontId="2" fillId="0" borderId="2" xfId="1" applyFont="1" applyFill="1" applyBorder="1" applyAlignment="1">
      <alignment horizontal="center" vertical="center"/>
    </xf>
    <xf numFmtId="0" fontId="41" fillId="0" borderId="7" xfId="0" applyFont="1" applyFill="1" applyBorder="1" applyAlignment="1">
      <alignment horizontal="center" vertical="center" wrapText="1"/>
    </xf>
    <xf numFmtId="0" fontId="2" fillId="0" borderId="1" xfId="1" applyFont="1" applyFill="1" applyBorder="1" applyAlignment="1">
      <alignment horizontal="right" vertical="center"/>
    </xf>
    <xf numFmtId="165" fontId="41" fillId="0" borderId="1" xfId="0" applyNumberFormat="1" applyFont="1" applyFill="1" applyBorder="1" applyAlignment="1">
      <alignment horizontal="center" vertical="center"/>
    </xf>
    <xf numFmtId="166" fontId="2" fillId="0" borderId="2" xfId="1" applyNumberFormat="1" applyFont="1" applyFill="1" applyBorder="1" applyAlignment="1" applyProtection="1">
      <alignment horizontal="center" vertical="center" wrapText="1"/>
      <protection locked="0"/>
    </xf>
    <xf numFmtId="1" fontId="41" fillId="0" borderId="6" xfId="0" applyNumberFormat="1" applyFont="1" applyFill="1" applyBorder="1" applyAlignment="1">
      <alignment horizontal="center" vertical="center" wrapText="1"/>
    </xf>
    <xf numFmtId="0" fontId="2" fillId="0" borderId="8" xfId="1" applyFont="1" applyFill="1" applyBorder="1" applyAlignment="1">
      <alignment horizontal="center" vertical="center"/>
    </xf>
    <xf numFmtId="166" fontId="2" fillId="0" borderId="2" xfId="1" applyNumberFormat="1" applyFont="1" applyFill="1" applyBorder="1" applyAlignment="1">
      <alignment horizontal="center" vertical="center"/>
    </xf>
    <xf numFmtId="0" fontId="2" fillId="0" borderId="7" xfId="1" applyFont="1" applyFill="1" applyBorder="1" applyAlignment="1">
      <alignment horizontal="center" vertical="center"/>
    </xf>
    <xf numFmtId="0" fontId="2" fillId="0" borderId="0" xfId="1" applyFont="1" applyFill="1" applyAlignment="1">
      <alignment horizontal="center" vertical="center"/>
    </xf>
    <xf numFmtId="0" fontId="2" fillId="0" borderId="2" xfId="1" applyFont="1" applyFill="1" applyBorder="1" applyAlignment="1">
      <alignment horizontal="center" vertical="center" wrapText="1"/>
    </xf>
    <xf numFmtId="0" fontId="2" fillId="0" borderId="6" xfId="1" applyFont="1" applyFill="1" applyBorder="1" applyAlignment="1">
      <alignment horizontal="center" vertical="center"/>
    </xf>
    <xf numFmtId="11" fontId="2" fillId="0" borderId="1" xfId="1" applyNumberFormat="1" applyFont="1" applyFill="1" applyBorder="1" applyAlignment="1">
      <alignment horizontal="center" vertical="center"/>
    </xf>
    <xf numFmtId="0" fontId="2" fillId="6" borderId="9" xfId="1" applyFont="1" applyFill="1" applyBorder="1" applyAlignment="1">
      <alignment wrapText="1"/>
    </xf>
    <xf numFmtId="0" fontId="2" fillId="6" borderId="9" xfId="1" applyFont="1" applyFill="1" applyBorder="1" applyAlignment="1">
      <alignment horizontal="center" vertical="center"/>
    </xf>
    <xf numFmtId="0" fontId="2" fillId="6" borderId="6" xfId="1" applyFont="1" applyFill="1" applyBorder="1" applyAlignment="1">
      <alignment horizontal="center" vertical="center"/>
    </xf>
    <xf numFmtId="0" fontId="2" fillId="6" borderId="1" xfId="1" applyFont="1" applyFill="1" applyBorder="1" applyAlignment="1">
      <alignment horizontal="left"/>
    </xf>
    <xf numFmtId="0" fontId="2" fillId="6" borderId="1" xfId="1" applyFont="1" applyFill="1" applyBorder="1" applyAlignment="1" applyProtection="1">
      <alignment horizontal="center" vertical="center" wrapText="1"/>
      <protection locked="0"/>
    </xf>
    <xf numFmtId="0" fontId="2" fillId="6" borderId="1" xfId="1" applyFont="1" applyFill="1" applyBorder="1" applyAlignment="1" applyProtection="1">
      <alignment horizontal="left" vertical="center" wrapText="1"/>
      <protection locked="0"/>
    </xf>
    <xf numFmtId="0" fontId="2" fillId="6" borderId="1" xfId="1" applyFont="1" applyFill="1" applyBorder="1" applyAlignment="1">
      <alignment horizontal="center" vertical="center" wrapText="1"/>
    </xf>
    <xf numFmtId="0" fontId="2" fillId="6" borderId="1" xfId="1" applyFont="1" applyFill="1" applyBorder="1" applyAlignment="1">
      <alignment horizontal="left" vertical="center" wrapText="1"/>
    </xf>
    <xf numFmtId="0" fontId="2" fillId="6" borderId="1" xfId="1" applyFont="1" applyFill="1" applyBorder="1" applyAlignment="1">
      <alignment horizontal="center" vertical="center"/>
    </xf>
    <xf numFmtId="0" fontId="2" fillId="6" borderId="1" xfId="1" applyFont="1" applyFill="1" applyBorder="1" applyAlignment="1">
      <alignment horizontal="left" vertical="center"/>
    </xf>
    <xf numFmtId="0" fontId="0" fillId="0" borderId="0" xfId="0" applyAlignment="1">
      <alignment vertical="top" wrapText="1"/>
    </xf>
    <xf numFmtId="0" fontId="33" fillId="0" borderId="0" xfId="0" applyFont="1" applyAlignment="1">
      <alignment horizontal="left" vertical="center"/>
    </xf>
    <xf numFmtId="165" fontId="12" fillId="0" borderId="1" xfId="0" applyNumberFormat="1" applyFont="1" applyFill="1" applyBorder="1" applyAlignment="1">
      <alignment horizontal="center" wrapText="1"/>
    </xf>
    <xf numFmtId="172" fontId="16" fillId="0" borderId="1" xfId="0" applyNumberFormat="1" applyFont="1" applyFill="1" applyBorder="1" applyAlignment="1">
      <alignment horizontal="center" vertical="center" wrapText="1"/>
    </xf>
    <xf numFmtId="172" fontId="13" fillId="0" borderId="8" xfId="0" applyNumberFormat="1" applyFont="1" applyFill="1" applyBorder="1" applyAlignment="1">
      <alignment horizontal="left" vertical="top" wrapText="1"/>
    </xf>
    <xf numFmtId="172" fontId="16" fillId="0" borderId="1" xfId="0" applyNumberFormat="1" applyFont="1" applyFill="1" applyBorder="1" applyAlignment="1">
      <alignment horizontal="center" vertical="center"/>
    </xf>
    <xf numFmtId="172" fontId="12" fillId="0" borderId="1" xfId="0" applyNumberFormat="1" applyFont="1" applyFill="1" applyBorder="1" applyAlignment="1">
      <alignment horizontal="center" vertical="center" wrapText="1"/>
    </xf>
    <xf numFmtId="172" fontId="13" fillId="4" borderId="1" xfId="0" applyNumberFormat="1" applyFont="1" applyFill="1" applyBorder="1" applyAlignment="1">
      <alignment horizontal="center" vertical="center" wrapText="1"/>
    </xf>
    <xf numFmtId="172" fontId="0" fillId="0" borderId="1" xfId="0" applyNumberFormat="1" applyFill="1" applyBorder="1" applyAlignment="1">
      <alignment horizontal="center" vertical="center"/>
    </xf>
    <xf numFmtId="172" fontId="12" fillId="0" borderId="1" xfId="0" applyNumberFormat="1" applyFont="1" applyFill="1" applyBorder="1" applyAlignment="1">
      <alignment horizontal="center" vertical="center"/>
    </xf>
    <xf numFmtId="172" fontId="0" fillId="0" borderId="1" xfId="0" applyNumberFormat="1" applyBorder="1" applyAlignment="1">
      <alignment horizontal="center"/>
    </xf>
    <xf numFmtId="172" fontId="0" fillId="0" borderId="0" xfId="0" applyNumberFormat="1" applyAlignment="1">
      <alignment horizontal="center"/>
    </xf>
    <xf numFmtId="172" fontId="0" fillId="0" borderId="1" xfId="0" applyNumberFormat="1" applyFill="1" applyBorder="1" applyAlignment="1">
      <alignment horizontal="center"/>
    </xf>
    <xf numFmtId="172" fontId="12" fillId="0" borderId="1" xfId="0" applyNumberFormat="1" applyFont="1" applyBorder="1" applyAlignment="1">
      <alignment horizontal="center" vertical="center"/>
    </xf>
    <xf numFmtId="172" fontId="12" fillId="0" borderId="1" xfId="0" applyNumberFormat="1" applyFont="1" applyFill="1" applyBorder="1" applyAlignment="1" applyProtection="1">
      <alignment horizontal="center" vertical="center" wrapText="1"/>
      <protection hidden="1"/>
    </xf>
    <xf numFmtId="172" fontId="12" fillId="0" borderId="1" xfId="0" applyNumberFormat="1" applyFont="1" applyBorder="1" applyAlignment="1" applyProtection="1">
      <alignment horizontal="center" vertical="center" wrapText="1"/>
      <protection hidden="1"/>
    </xf>
    <xf numFmtId="172" fontId="12" fillId="0" borderId="0" xfId="0" applyNumberFormat="1" applyFont="1" applyAlignment="1">
      <alignment horizontal="center"/>
    </xf>
    <xf numFmtId="172" fontId="55" fillId="4" borderId="1" xfId="0" applyNumberFormat="1" applyFont="1" applyFill="1" applyBorder="1" applyAlignment="1">
      <alignment horizontal="center" vertical="center" wrapText="1"/>
    </xf>
    <xf numFmtId="172" fontId="0" fillId="0" borderId="4" xfId="0" applyNumberFormat="1" applyBorder="1" applyAlignment="1">
      <alignment horizontal="center" vertical="center"/>
    </xf>
    <xf numFmtId="172" fontId="13" fillId="4" borderId="4" xfId="0" applyNumberFormat="1" applyFont="1" applyFill="1" applyBorder="1" applyAlignment="1">
      <alignment horizontal="center" vertical="center" wrapText="1"/>
    </xf>
    <xf numFmtId="172" fontId="12" fillId="0" borderId="1" xfId="19" applyNumberFormat="1" applyFont="1" applyFill="1" applyBorder="1" applyAlignment="1">
      <alignment horizontal="center" vertical="center"/>
    </xf>
    <xf numFmtId="0" fontId="12" fillId="0" borderId="4" xfId="0" applyFont="1" applyFill="1" applyBorder="1" applyAlignment="1">
      <alignment horizontal="left" vertical="center" wrapText="1"/>
    </xf>
    <xf numFmtId="172" fontId="0" fillId="0" borderId="4" xfId="0" applyNumberFormat="1" applyFill="1" applyBorder="1" applyAlignment="1">
      <alignment horizontal="center" vertical="center"/>
    </xf>
    <xf numFmtId="0" fontId="0" fillId="0" borderId="1" xfId="0" applyFont="1" applyFill="1" applyBorder="1" applyAlignment="1">
      <alignment horizontal="center" vertical="center"/>
    </xf>
    <xf numFmtId="0" fontId="0" fillId="0" borderId="1" xfId="0" quotePrefix="1" applyFont="1"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center"/>
    </xf>
    <xf numFmtId="11" fontId="12" fillId="0" borderId="1" xfId="0" applyNumberFormat="1" applyFont="1" applyFill="1" applyBorder="1" applyAlignment="1">
      <alignment horizontal="center"/>
    </xf>
    <xf numFmtId="0" fontId="0" fillId="0" borderId="4" xfId="0" applyFont="1" applyFill="1" applyBorder="1" applyAlignment="1">
      <alignment horizontal="center" vertical="center"/>
    </xf>
    <xf numFmtId="0" fontId="0" fillId="0" borderId="0" xfId="0" applyFill="1"/>
    <xf numFmtId="0" fontId="0" fillId="0" borderId="1" xfId="0" applyFont="1" applyFill="1" applyBorder="1" applyAlignment="1">
      <alignment horizontal="center"/>
    </xf>
    <xf numFmtId="11" fontId="12" fillId="0" borderId="1" xfId="0" applyNumberFormat="1" applyFont="1" applyFill="1" applyBorder="1" applyAlignment="1">
      <alignment horizontal="left" wrapText="1"/>
    </xf>
    <xf numFmtId="0" fontId="12" fillId="0" borderId="0" xfId="0" applyFont="1" applyFill="1" applyAlignment="1">
      <alignment horizontal="left" vertical="center" wrapText="1"/>
    </xf>
    <xf numFmtId="0" fontId="0" fillId="0" borderId="1" xfId="0" applyFont="1" applyFill="1" applyBorder="1" applyAlignment="1">
      <alignment horizontal="left" wrapText="1"/>
    </xf>
    <xf numFmtId="0" fontId="12" fillId="0" borderId="1" xfId="0" applyFont="1" applyFill="1" applyBorder="1" applyAlignment="1">
      <alignment horizontal="left" wrapText="1"/>
    </xf>
    <xf numFmtId="172" fontId="12" fillId="0" borderId="0" xfId="0" applyNumberFormat="1" applyFont="1" applyFill="1" applyAlignment="1">
      <alignment horizontal="center" vertical="center"/>
    </xf>
    <xf numFmtId="172" fontId="12" fillId="0" borderId="1" xfId="0" applyNumberFormat="1" applyFont="1" applyFill="1" applyBorder="1" applyAlignment="1">
      <alignment horizontal="center"/>
    </xf>
    <xf numFmtId="172" fontId="0" fillId="0" borderId="4" xfId="0" applyNumberFormat="1" applyFill="1" applyBorder="1" applyAlignment="1">
      <alignment horizontal="center" vertical="center" wrapText="1"/>
    </xf>
    <xf numFmtId="172" fontId="0" fillId="0" borderId="4" xfId="0" applyNumberFormat="1" applyFont="1" applyFill="1" applyBorder="1" applyAlignment="1">
      <alignment horizontal="center" vertical="center"/>
    </xf>
    <xf numFmtId="172" fontId="12" fillId="0" borderId="1" xfId="0" applyNumberFormat="1" applyFont="1" applyBorder="1" applyAlignment="1">
      <alignment horizontal="center"/>
    </xf>
    <xf numFmtId="172" fontId="12" fillId="0" borderId="1" xfId="1" applyNumberFormat="1" applyFont="1" applyBorder="1" applyAlignment="1">
      <alignment horizontal="center"/>
    </xf>
    <xf numFmtId="172" fontId="2" fillId="0" borderId="1" xfId="0" applyNumberFormat="1" applyFont="1" applyFill="1" applyBorder="1" applyAlignment="1">
      <alignment horizontal="center" vertical="center"/>
    </xf>
    <xf numFmtId="172" fontId="12" fillId="0" borderId="4" xfId="0" applyNumberFormat="1" applyFont="1" applyFill="1" applyBorder="1" applyAlignment="1">
      <alignment horizontal="center" vertical="center"/>
    </xf>
    <xf numFmtId="172" fontId="12" fillId="0" borderId="4" xfId="0" applyNumberFormat="1" applyFont="1" applyFill="1" applyBorder="1" applyAlignment="1">
      <alignment horizontal="center" vertical="center" wrapText="1"/>
    </xf>
    <xf numFmtId="172" fontId="2" fillId="0" borderId="0" xfId="0" applyNumberFormat="1" applyFont="1" applyFill="1" applyBorder="1" applyAlignment="1">
      <alignment horizontal="center" vertical="center"/>
    </xf>
    <xf numFmtId="172" fontId="12" fillId="0" borderId="0" xfId="0" applyNumberFormat="1" applyFont="1" applyFill="1" applyAlignment="1">
      <alignment horizontal="center"/>
    </xf>
    <xf numFmtId="172" fontId="56" fillId="0" borderId="0" xfId="0" applyNumberFormat="1" applyFont="1" applyFill="1" applyBorder="1" applyAlignment="1">
      <alignment horizontal="center" vertical="center"/>
    </xf>
    <xf numFmtId="172" fontId="0" fillId="0" borderId="0" xfId="0" applyNumberFormat="1" applyFill="1" applyAlignment="1">
      <alignment horizontal="center" vertical="center"/>
    </xf>
    <xf numFmtId="172" fontId="12" fillId="0" borderId="0" xfId="0" applyNumberFormat="1" applyFont="1" applyFill="1" applyBorder="1" applyAlignment="1">
      <alignment horizontal="center" vertical="center"/>
    </xf>
    <xf numFmtId="172" fontId="12" fillId="0" borderId="1" xfId="1" applyNumberFormat="1" applyFont="1" applyFill="1" applyBorder="1" applyAlignment="1">
      <alignment horizontal="center" vertical="center"/>
    </xf>
    <xf numFmtId="172" fontId="49" fillId="0" borderId="1" xfId="1" applyNumberFormat="1" applyFont="1" applyFill="1" applyBorder="1" applyAlignment="1">
      <alignment horizontal="center" vertical="center"/>
    </xf>
    <xf numFmtId="172" fontId="0" fillId="0" borderId="0" xfId="0" applyNumberFormat="1" applyFill="1" applyAlignment="1">
      <alignment horizontal="center"/>
    </xf>
    <xf numFmtId="172" fontId="0" fillId="0" borderId="6" xfId="0" applyNumberFormat="1" applyFill="1" applyBorder="1" applyAlignment="1">
      <alignment horizontal="center"/>
    </xf>
    <xf numFmtId="172" fontId="2" fillId="0" borderId="1" xfId="1" applyNumberFormat="1" applyFill="1" applyBorder="1" applyAlignment="1">
      <alignment horizontal="center"/>
    </xf>
    <xf numFmtId="172" fontId="48" fillId="0" borderId="1" xfId="0" applyNumberFormat="1" applyFont="1" applyFill="1" applyBorder="1" applyAlignment="1">
      <alignment horizontal="center"/>
    </xf>
    <xf numFmtId="172" fontId="49" fillId="0" borderId="1" xfId="1" applyNumberFormat="1" applyFont="1" applyFill="1" applyBorder="1" applyAlignment="1">
      <alignment horizontal="center"/>
    </xf>
    <xf numFmtId="172" fontId="2" fillId="0" borderId="1" xfId="1" applyNumberFormat="1" applyFill="1" applyBorder="1" applyAlignment="1">
      <alignment horizontal="center" vertical="center"/>
    </xf>
    <xf numFmtId="172" fontId="0" fillId="0" borderId="1" xfId="0" applyNumberFormat="1" applyFont="1" applyFill="1" applyBorder="1" applyAlignment="1">
      <alignment horizontal="center"/>
    </xf>
    <xf numFmtId="172" fontId="48" fillId="0" borderId="1" xfId="0" applyNumberFormat="1" applyFont="1" applyFill="1" applyBorder="1" applyAlignment="1">
      <alignment horizontal="center" vertical="center"/>
    </xf>
    <xf numFmtId="2" fontId="38" fillId="0" borderId="1" xfId="0" applyNumberFormat="1" applyFont="1" applyFill="1" applyBorder="1" applyAlignment="1">
      <alignment horizontal="center" vertical="center"/>
    </xf>
    <xf numFmtId="0" fontId="12" fillId="0" borderId="1" xfId="0" applyFont="1" applyFill="1" applyBorder="1" applyAlignment="1">
      <alignment horizontal="left" vertical="center" wrapText="1"/>
    </xf>
    <xf numFmtId="2" fontId="12" fillId="0" borderId="1" xfId="0" applyNumberFormat="1" applyFont="1" applyBorder="1" applyAlignment="1">
      <alignment horizontal="center" vertical="center"/>
    </xf>
    <xf numFmtId="2" fontId="0" fillId="0" borderId="1" xfId="0" applyNumberFormat="1" applyFont="1" applyFill="1" applyBorder="1" applyAlignment="1">
      <alignment horizontal="center" vertical="center"/>
    </xf>
    <xf numFmtId="2" fontId="12" fillId="0" borderId="1" xfId="0" applyNumberFormat="1" applyFont="1" applyFill="1" applyBorder="1" applyAlignment="1">
      <alignment horizontal="center" vertical="center"/>
    </xf>
    <xf numFmtId="2" fontId="23" fillId="0" borderId="1" xfId="0" applyNumberFormat="1" applyFont="1" applyFill="1" applyBorder="1" applyAlignment="1">
      <alignment horizontal="center" vertical="center"/>
    </xf>
    <xf numFmtId="2" fontId="0" fillId="0" borderId="1" xfId="0" applyNumberFormat="1" applyFont="1" applyBorder="1" applyAlignment="1">
      <alignment horizontal="center" vertical="center"/>
    </xf>
    <xf numFmtId="2" fontId="12" fillId="0" borderId="1" xfId="19" applyNumberFormat="1" applyFont="1" applyFill="1" applyBorder="1" applyAlignment="1">
      <alignment horizontal="center" vertical="center"/>
    </xf>
    <xf numFmtId="2" fontId="0" fillId="0" borderId="1" xfId="0" applyNumberFormat="1" applyFont="1" applyFill="1" applyBorder="1" applyAlignment="1">
      <alignment horizontal="center" vertical="center" wrapText="1"/>
    </xf>
    <xf numFmtId="2" fontId="23" fillId="0" borderId="1" xfId="0" applyNumberFormat="1" applyFont="1" applyBorder="1" applyAlignment="1">
      <alignment horizontal="center" vertical="center"/>
    </xf>
    <xf numFmtId="2" fontId="0" fillId="0" borderId="1" xfId="0" applyNumberFormat="1" applyFont="1" applyBorder="1" applyAlignment="1">
      <alignment horizontal="center" vertical="center" wrapText="1"/>
    </xf>
    <xf numFmtId="2" fontId="0" fillId="0" borderId="13" xfId="0" applyNumberFormat="1" applyFont="1" applyBorder="1" applyAlignment="1">
      <alignment horizontal="center" vertical="center" wrapText="1"/>
    </xf>
    <xf numFmtId="2" fontId="23" fillId="0" borderId="1" xfId="0" applyNumberFormat="1" applyFont="1" applyBorder="1" applyAlignment="1">
      <alignment horizontal="center" vertical="center" wrapText="1"/>
    </xf>
    <xf numFmtId="0" fontId="0" fillId="0" borderId="0" xfId="0" applyFill="1" applyAlignment="1">
      <alignment vertical="center" wrapText="1"/>
    </xf>
    <xf numFmtId="0" fontId="12" fillId="0" borderId="0" xfId="0" applyFont="1" applyFill="1" applyAlignment="1">
      <alignment horizontal="center" vertical="center"/>
    </xf>
    <xf numFmtId="0" fontId="2" fillId="0" borderId="1" xfId="1" applyFont="1" applyBorder="1" applyAlignment="1">
      <alignment horizontal="center" vertical="center" wrapText="1"/>
    </xf>
    <xf numFmtId="0" fontId="0" fillId="0" borderId="1" xfId="0" applyBorder="1" applyAlignment="1">
      <alignment wrapText="1"/>
    </xf>
    <xf numFmtId="0" fontId="2" fillId="3" borderId="2"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0" borderId="2"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13" xfId="1" applyFont="1" applyBorder="1" applyAlignment="1">
      <alignment horizontal="center" vertical="center" wrapText="1"/>
    </xf>
    <xf numFmtId="0" fontId="6" fillId="4" borderId="1" xfId="0" applyFont="1" applyFill="1" applyBorder="1" applyAlignment="1">
      <alignment horizontal="center"/>
    </xf>
    <xf numFmtId="0" fontId="3" fillId="4"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3" fillId="4" borderId="2" xfId="0" applyFont="1" applyFill="1" applyBorder="1" applyAlignment="1">
      <alignment horizontal="center" vertical="center"/>
    </xf>
    <xf numFmtId="0" fontId="3" fillId="4" borderId="13" xfId="0" applyFont="1" applyFill="1" applyBorder="1" applyAlignment="1">
      <alignment horizontal="center" vertical="center"/>
    </xf>
    <xf numFmtId="0" fontId="2" fillId="0" borderId="1" xfId="1" applyFont="1" applyBorder="1" applyAlignment="1">
      <alignment horizontal="left"/>
    </xf>
    <xf numFmtId="0" fontId="11" fillId="4" borderId="1" xfId="1" applyFont="1" applyFill="1" applyBorder="1" applyAlignment="1">
      <alignment horizontal="center" vertical="center"/>
    </xf>
    <xf numFmtId="0" fontId="8" fillId="0" borderId="1" xfId="1" applyFont="1" applyBorder="1" applyAlignment="1">
      <alignment horizontal="center"/>
    </xf>
    <xf numFmtId="0" fontId="2" fillId="0" borderId="1" xfId="1" applyFont="1" applyBorder="1" applyAlignment="1">
      <alignment horizontal="center"/>
    </xf>
    <xf numFmtId="0" fontId="9" fillId="0" borderId="1" xfId="3" applyBorder="1" applyAlignment="1">
      <alignment horizontal="center"/>
    </xf>
    <xf numFmtId="0" fontId="2" fillId="0" borderId="1" xfId="1" applyBorder="1" applyAlignment="1">
      <alignment horizontal="left"/>
    </xf>
    <xf numFmtId="0" fontId="8" fillId="0" borderId="2" xfId="1" applyFont="1" applyBorder="1" applyAlignment="1">
      <alignment horizontal="center"/>
    </xf>
    <xf numFmtId="0" fontId="8" fillId="0" borderId="12" xfId="1" applyFont="1" applyBorder="1" applyAlignment="1">
      <alignment horizontal="center"/>
    </xf>
    <xf numFmtId="0" fontId="8" fillId="0" borderId="13" xfId="1" applyFont="1" applyBorder="1" applyAlignment="1">
      <alignment horizontal="center"/>
    </xf>
    <xf numFmtId="0" fontId="2" fillId="0" borderId="2" xfId="1" applyFont="1" applyBorder="1" applyAlignment="1">
      <alignment horizontal="center"/>
    </xf>
    <xf numFmtId="0" fontId="2" fillId="0" borderId="12" xfId="1" applyFont="1" applyBorder="1" applyAlignment="1">
      <alignment horizontal="center"/>
    </xf>
    <xf numFmtId="0" fontId="2" fillId="0" borderId="13" xfId="1" applyFont="1" applyBorder="1" applyAlignment="1">
      <alignment horizontal="center"/>
    </xf>
    <xf numFmtId="0" fontId="9" fillId="0" borderId="4" xfId="3" applyBorder="1" applyAlignment="1">
      <alignment horizontal="center"/>
    </xf>
    <xf numFmtId="0" fontId="9" fillId="0" borderId="6" xfId="3" applyBorder="1" applyAlignment="1">
      <alignment horizontal="center"/>
    </xf>
    <xf numFmtId="0" fontId="2" fillId="0" borderId="2" xfId="1" applyBorder="1" applyAlignment="1">
      <alignment horizontal="center" wrapText="1"/>
    </xf>
    <xf numFmtId="0" fontId="2" fillId="0" borderId="12" xfId="1" applyBorder="1" applyAlignment="1">
      <alignment horizontal="center" wrapText="1"/>
    </xf>
    <xf numFmtId="0" fontId="2" fillId="0" borderId="13" xfId="1" applyBorder="1" applyAlignment="1">
      <alignment horizontal="center" wrapText="1"/>
    </xf>
    <xf numFmtId="0" fontId="9" fillId="0" borderId="1" xfId="3" applyFont="1" applyBorder="1" applyAlignment="1">
      <alignment horizontal="center"/>
    </xf>
    <xf numFmtId="0" fontId="2" fillId="0" borderId="1" xfId="1" applyBorder="1" applyAlignment="1">
      <alignment horizontal="center"/>
    </xf>
    <xf numFmtId="0" fontId="2" fillId="0" borderId="2" xfId="1" applyFont="1" applyBorder="1" applyAlignment="1">
      <alignment horizontal="center" wrapText="1"/>
    </xf>
    <xf numFmtId="0" fontId="2" fillId="0" borderId="12" xfId="1" applyFont="1" applyBorder="1" applyAlignment="1">
      <alignment horizontal="center" wrapText="1"/>
    </xf>
    <xf numFmtId="0" fontId="9" fillId="0" borderId="4" xfId="3" applyFont="1" applyBorder="1" applyAlignment="1">
      <alignment horizontal="center"/>
    </xf>
    <xf numFmtId="0" fontId="9" fillId="0" borderId="6" xfId="3" applyFont="1" applyBorder="1" applyAlignment="1">
      <alignment horizontal="center"/>
    </xf>
    <xf numFmtId="0" fontId="9" fillId="0" borderId="7" xfId="3" applyBorder="1" applyAlignment="1">
      <alignment horizontal="center"/>
    </xf>
    <xf numFmtId="0" fontId="9" fillId="0" borderId="8" xfId="3" applyBorder="1" applyAlignment="1">
      <alignment horizontal="center"/>
    </xf>
    <xf numFmtId="172" fontId="12" fillId="0" borderId="4" xfId="0" applyNumberFormat="1" applyFont="1" applyFill="1" applyBorder="1" applyAlignment="1" applyProtection="1">
      <alignment horizontal="center" vertical="center" wrapText="1"/>
      <protection hidden="1"/>
    </xf>
    <xf numFmtId="172" fontId="12" fillId="0" borderId="3" xfId="0" applyNumberFormat="1" applyFont="1" applyFill="1" applyBorder="1" applyAlignment="1" applyProtection="1">
      <alignment horizontal="center" vertical="center" wrapText="1"/>
      <protection hidden="1"/>
    </xf>
    <xf numFmtId="172" fontId="12" fillId="0" borderId="6" xfId="0" applyNumberFormat="1" applyFont="1" applyFill="1" applyBorder="1" applyAlignment="1" applyProtection="1">
      <alignment horizontal="center" vertical="center" wrapText="1"/>
      <protection hidden="1"/>
    </xf>
    <xf numFmtId="172" fontId="12" fillId="0" borderId="4" xfId="0" applyNumberFormat="1" applyFont="1" applyBorder="1" applyAlignment="1" applyProtection="1">
      <alignment horizontal="center" vertical="center" wrapText="1"/>
      <protection hidden="1"/>
    </xf>
    <xf numFmtId="172" fontId="12" fillId="0" borderId="3" xfId="0" applyNumberFormat="1" applyFont="1" applyBorder="1" applyAlignment="1" applyProtection="1">
      <alignment horizontal="center" vertical="center" wrapText="1"/>
      <protection hidden="1"/>
    </xf>
    <xf numFmtId="172" fontId="12" fillId="0" borderId="6" xfId="0" applyNumberFormat="1" applyFont="1" applyBorder="1" applyAlignment="1" applyProtection="1">
      <alignment horizontal="center" vertical="center" wrapText="1"/>
      <protection hidden="1"/>
    </xf>
    <xf numFmtId="172" fontId="12" fillId="0" borderId="4" xfId="0" applyNumberFormat="1" applyFont="1" applyFill="1" applyBorder="1" applyAlignment="1">
      <alignment horizontal="center" vertical="center"/>
    </xf>
    <xf numFmtId="172" fontId="12" fillId="0" borderId="3" xfId="0" applyNumberFormat="1" applyFont="1" applyFill="1" applyBorder="1" applyAlignment="1">
      <alignment horizontal="center" vertical="center"/>
    </xf>
    <xf numFmtId="172" fontId="12" fillId="0" borderId="6" xfId="0" applyNumberFormat="1" applyFont="1" applyFill="1" applyBorder="1" applyAlignment="1">
      <alignment horizontal="center" vertical="center"/>
    </xf>
    <xf numFmtId="0" fontId="13" fillId="0" borderId="4" xfId="0" applyFont="1" applyFill="1" applyBorder="1" applyAlignment="1">
      <alignment vertical="top" wrapText="1"/>
    </xf>
    <xf numFmtId="0" fontId="13" fillId="0" borderId="3" xfId="0" applyFont="1" applyFill="1" applyBorder="1" applyAlignment="1">
      <alignment vertical="top" wrapText="1"/>
    </xf>
    <xf numFmtId="0" fontId="13" fillId="0" borderId="6" xfId="0" applyFont="1" applyFill="1" applyBorder="1" applyAlignment="1">
      <alignment vertical="top" wrapText="1"/>
    </xf>
    <xf numFmtId="172" fontId="12" fillId="0" borderId="1" xfId="0" applyNumberFormat="1" applyFont="1" applyFill="1" applyBorder="1" applyAlignment="1" applyProtection="1">
      <alignment horizontal="center" vertical="center" wrapText="1"/>
      <protection hidden="1"/>
    </xf>
    <xf numFmtId="0" fontId="15" fillId="4" borderId="10" xfId="0" applyFont="1" applyFill="1" applyBorder="1" applyAlignment="1">
      <alignment horizontal="center" vertical="center"/>
    </xf>
    <xf numFmtId="0" fontId="15" fillId="4" borderId="11" xfId="0" applyFont="1" applyFill="1" applyBorder="1" applyAlignment="1">
      <alignment horizontal="center" vertical="center"/>
    </xf>
    <xf numFmtId="0" fontId="23" fillId="4" borderId="5" xfId="0" applyFont="1" applyFill="1" applyBorder="1" applyAlignment="1">
      <alignment horizontal="center" wrapText="1"/>
    </xf>
    <xf numFmtId="0" fontId="2" fillId="7" borderId="1" xfId="1" applyFont="1" applyFill="1" applyBorder="1" applyAlignment="1" applyProtection="1">
      <alignment horizontal="center" vertical="center" wrapText="1"/>
    </xf>
    <xf numFmtId="0" fontId="2" fillId="7" borderId="2" xfId="1" applyFont="1" applyFill="1" applyBorder="1" applyAlignment="1">
      <alignment horizontal="center" vertical="center" wrapText="1"/>
    </xf>
    <xf numFmtId="0" fontId="2" fillId="7" borderId="13" xfId="1" applyFont="1" applyFill="1" applyBorder="1" applyAlignment="1">
      <alignment horizontal="center" vertical="center" wrapText="1"/>
    </xf>
    <xf numFmtId="0" fontId="2" fillId="7" borderId="6" xfId="1" applyFont="1" applyFill="1" applyBorder="1" applyAlignment="1" applyProtection="1">
      <alignment horizontal="center" vertical="center" wrapText="1"/>
    </xf>
    <xf numFmtId="0" fontId="26" fillId="0" borderId="4" xfId="1" applyFont="1" applyBorder="1" applyAlignment="1">
      <alignment horizontal="center" vertical="center" wrapText="1"/>
    </xf>
    <xf numFmtId="0" fontId="26" fillId="0" borderId="3" xfId="1" applyFont="1" applyBorder="1" applyAlignment="1">
      <alignment horizontal="center" vertical="center" wrapText="1"/>
    </xf>
    <xf numFmtId="0" fontId="26" fillId="0" borderId="6" xfId="1" applyFont="1" applyBorder="1" applyAlignment="1">
      <alignment horizontal="center" vertical="center" wrapText="1"/>
    </xf>
    <xf numFmtId="0" fontId="2" fillId="7" borderId="2" xfId="1" applyFont="1" applyFill="1" applyBorder="1" applyAlignment="1" applyProtection="1">
      <alignment horizontal="center" vertical="center" wrapText="1"/>
    </xf>
    <xf numFmtId="0" fontId="2" fillId="7" borderId="13" xfId="1" applyFont="1" applyFill="1" applyBorder="1" applyAlignment="1" applyProtection="1">
      <alignment horizontal="center" vertical="center" wrapText="1"/>
    </xf>
    <xf numFmtId="0" fontId="2" fillId="7" borderId="1" xfId="1" applyFont="1" applyFill="1" applyBorder="1" applyAlignment="1">
      <alignment horizontal="center" vertical="center" wrapText="1"/>
    </xf>
    <xf numFmtId="0" fontId="26" fillId="0" borderId="1" xfId="1" applyFont="1" applyBorder="1" applyAlignment="1">
      <alignment horizontal="center" vertical="center"/>
    </xf>
    <xf numFmtId="0" fontId="45" fillId="0" borderId="2" xfId="0" applyFont="1" applyBorder="1" applyAlignment="1">
      <alignment horizontal="center" vertical="center" wrapText="1"/>
    </xf>
    <xf numFmtId="0" fontId="45" fillId="0" borderId="13" xfId="0" applyFont="1" applyBorder="1" applyAlignment="1">
      <alignment horizontal="center" vertical="center" wrapText="1"/>
    </xf>
    <xf numFmtId="0" fontId="11" fillId="0" borderId="2" xfId="1" applyFont="1" applyBorder="1" applyAlignment="1">
      <alignment horizontal="center" vertical="center" wrapText="1"/>
    </xf>
    <xf numFmtId="0" fontId="11" fillId="0" borderId="13" xfId="1" applyFont="1" applyBorder="1" applyAlignment="1">
      <alignment horizontal="center" vertical="center" wrapText="1"/>
    </xf>
    <xf numFmtId="0" fontId="11" fillId="0" borderId="13" xfId="1" applyFont="1" applyBorder="1" applyAlignment="1">
      <alignment horizontal="center" vertical="center"/>
    </xf>
    <xf numFmtId="0" fontId="2" fillId="7" borderId="6" xfId="1" applyFont="1" applyFill="1" applyBorder="1" applyAlignment="1">
      <alignment horizontal="center" vertical="center" wrapText="1"/>
    </xf>
    <xf numFmtId="0" fontId="26" fillId="0" borderId="4" xfId="1" applyFont="1" applyFill="1" applyBorder="1" applyAlignment="1">
      <alignment horizontal="center" vertical="center" wrapText="1"/>
    </xf>
    <xf numFmtId="0" fontId="26" fillId="0" borderId="6" xfId="1" applyFont="1" applyFill="1" applyBorder="1" applyAlignment="1">
      <alignment horizontal="center" vertical="center" wrapText="1"/>
    </xf>
    <xf numFmtId="0" fontId="2" fillId="7" borderId="4" xfId="1" applyFont="1" applyFill="1" applyBorder="1" applyAlignment="1">
      <alignment horizontal="center" vertical="center" wrapText="1"/>
    </xf>
    <xf numFmtId="0" fontId="26" fillId="0" borderId="3" xfId="1" applyFont="1" applyFill="1" applyBorder="1" applyAlignment="1">
      <alignment horizontal="center" vertical="center" wrapText="1"/>
    </xf>
    <xf numFmtId="0" fontId="3" fillId="7" borderId="4" xfId="1" applyFont="1" applyFill="1" applyBorder="1" applyAlignment="1">
      <alignment horizontal="center" vertical="center" wrapText="1"/>
    </xf>
    <xf numFmtId="0" fontId="3" fillId="7" borderId="3" xfId="1" applyFont="1" applyFill="1" applyBorder="1" applyAlignment="1">
      <alignment horizontal="center" vertical="center" wrapText="1"/>
    </xf>
    <xf numFmtId="0" fontId="3" fillId="7" borderId="6" xfId="1" applyFont="1" applyFill="1" applyBorder="1" applyAlignment="1">
      <alignment horizontal="center" vertical="center" wrapText="1"/>
    </xf>
    <xf numFmtId="0" fontId="11" fillId="7" borderId="2" xfId="1" applyFont="1" applyFill="1" applyBorder="1" applyAlignment="1">
      <alignment horizontal="center" vertical="center" wrapText="1"/>
    </xf>
    <xf numFmtId="0" fontId="11" fillId="7" borderId="12" xfId="1" applyFont="1" applyFill="1" applyBorder="1" applyAlignment="1">
      <alignment horizontal="center" vertical="center" wrapText="1"/>
    </xf>
    <xf numFmtId="0" fontId="11" fillId="7" borderId="13" xfId="1" applyFont="1" applyFill="1" applyBorder="1" applyAlignment="1">
      <alignment horizontal="center" vertical="center" wrapText="1"/>
    </xf>
    <xf numFmtId="0" fontId="11" fillId="7" borderId="1" xfId="1" applyFont="1" applyFill="1" applyBorder="1" applyAlignment="1" applyProtection="1">
      <alignment horizontal="center" vertical="center" wrapText="1"/>
    </xf>
    <xf numFmtId="0" fontId="11" fillId="7" borderId="4" xfId="1" applyFont="1" applyFill="1" applyBorder="1" applyAlignment="1" applyProtection="1">
      <alignment horizontal="center" vertical="center" wrapText="1"/>
    </xf>
    <xf numFmtId="0" fontId="2" fillId="7" borderId="4" xfId="1" applyFont="1" applyFill="1" applyBorder="1" applyAlignment="1" applyProtection="1">
      <alignment horizontal="center" vertical="center" wrapText="1"/>
    </xf>
    <xf numFmtId="0" fontId="11" fillId="7" borderId="2" xfId="1" applyFont="1" applyFill="1" applyBorder="1" applyAlignment="1" applyProtection="1">
      <alignment horizontal="center" vertical="center" wrapText="1"/>
    </xf>
    <xf numFmtId="0" fontId="11" fillId="7" borderId="13" xfId="1" applyFont="1" applyFill="1" applyBorder="1" applyAlignment="1" applyProtection="1">
      <alignment horizontal="center" vertical="center" wrapText="1"/>
    </xf>
    <xf numFmtId="0" fontId="27" fillId="0" borderId="3" xfId="1" applyFont="1" applyFill="1" applyBorder="1" applyAlignment="1">
      <alignment horizontal="left" vertical="center" wrapText="1"/>
    </xf>
    <xf numFmtId="0" fontId="26" fillId="0" borderId="3" xfId="1" applyFont="1" applyFill="1" applyBorder="1" applyAlignment="1">
      <alignment horizontal="left" vertical="center"/>
    </xf>
    <xf numFmtId="0" fontId="3" fillId="0" borderId="5" xfId="1" applyFont="1" applyBorder="1" applyAlignment="1">
      <alignment horizontal="center" vertical="center" wrapText="1"/>
    </xf>
    <xf numFmtId="0" fontId="4" fillId="0" borderId="5" xfId="1" applyFont="1" applyBorder="1" applyAlignment="1">
      <alignment horizontal="center" vertical="center" wrapText="1"/>
    </xf>
    <xf numFmtId="0" fontId="4" fillId="0" borderId="11" xfId="1" applyFont="1" applyBorder="1" applyAlignment="1">
      <alignment horizontal="center" vertical="center" wrapText="1"/>
    </xf>
    <xf numFmtId="0" fontId="11" fillId="7" borderId="6" xfId="1" applyFont="1" applyFill="1" applyBorder="1" applyAlignment="1" applyProtection="1">
      <alignment horizontal="center" vertical="center" wrapText="1"/>
    </xf>
    <xf numFmtId="0" fontId="11" fillId="7" borderId="7" xfId="1" applyFont="1" applyFill="1" applyBorder="1" applyAlignment="1" applyProtection="1">
      <alignment horizontal="center" vertical="center" wrapText="1"/>
    </xf>
    <xf numFmtId="0" fontId="11" fillId="7" borderId="10" xfId="1" applyFont="1" applyFill="1" applyBorder="1" applyAlignment="1" applyProtection="1">
      <alignment horizontal="center" vertical="center" wrapText="1"/>
    </xf>
    <xf numFmtId="0" fontId="13" fillId="4" borderId="4" xfId="0" applyFont="1" applyFill="1" applyBorder="1" applyAlignment="1">
      <alignment horizontal="left"/>
    </xf>
    <xf numFmtId="0" fontId="13" fillId="4" borderId="3" xfId="0" applyFont="1" applyFill="1" applyBorder="1" applyAlignment="1">
      <alignment horizontal="left"/>
    </xf>
    <xf numFmtId="0" fontId="13" fillId="4" borderId="6" xfId="0" applyFont="1" applyFill="1" applyBorder="1" applyAlignment="1">
      <alignment horizontal="left"/>
    </xf>
    <xf numFmtId="0" fontId="13" fillId="4" borderId="4" xfId="0" applyFont="1" applyFill="1" applyBorder="1" applyAlignment="1">
      <alignment horizontal="left" vertical="center"/>
    </xf>
    <xf numFmtId="0" fontId="13" fillId="4" borderId="3" xfId="0" applyFont="1" applyFill="1" applyBorder="1" applyAlignment="1">
      <alignment horizontal="left" vertical="center"/>
    </xf>
    <xf numFmtId="0" fontId="13" fillId="4" borderId="6" xfId="0" applyFont="1" applyFill="1" applyBorder="1" applyAlignment="1">
      <alignment horizontal="left" vertical="center"/>
    </xf>
    <xf numFmtId="0" fontId="0" fillId="0" borderId="1" xfId="0" applyNumberFormat="1" applyFill="1" applyBorder="1" applyAlignment="1">
      <alignment horizontal="left" wrapText="1"/>
    </xf>
    <xf numFmtId="0" fontId="11" fillId="14" borderId="1" xfId="1" applyFont="1" applyFill="1" applyBorder="1" applyAlignment="1">
      <alignment horizontal="center" vertical="center"/>
    </xf>
    <xf numFmtId="0" fontId="11" fillId="14" borderId="1" xfId="1" applyFont="1" applyFill="1" applyBorder="1" applyAlignment="1">
      <alignment horizontal="center"/>
    </xf>
    <xf numFmtId="0" fontId="11" fillId="14" borderId="1" xfId="0" applyFont="1" applyFill="1" applyBorder="1" applyAlignment="1">
      <alignment horizontal="center" wrapText="1"/>
    </xf>
    <xf numFmtId="0" fontId="40" fillId="7" borderId="0" xfId="0" applyFont="1" applyFill="1"/>
    <xf numFmtId="0" fontId="0" fillId="7" borderId="0" xfId="0" applyFill="1"/>
    <xf numFmtId="0" fontId="33" fillId="7" borderId="0" xfId="0" applyFont="1" applyFill="1"/>
    <xf numFmtId="0" fontId="2" fillId="0" borderId="3" xfId="1" applyNumberFormat="1" applyFont="1" applyFill="1" applyBorder="1" applyAlignment="1" applyProtection="1">
      <alignment horizontal="left" vertical="center" wrapText="1"/>
      <protection locked="0"/>
    </xf>
  </cellXfs>
  <cellStyles count="21">
    <cellStyle name="Lien hypertexte" xfId="3" builtinId="8"/>
    <cellStyle name="Lien hypertexte 2" xfId="20"/>
    <cellStyle name="Milliers" xfId="19" builtinId="3"/>
    <cellStyle name="Normal" xfId="0" builtinId="0"/>
    <cellStyle name="Normal 11" xfId="4"/>
    <cellStyle name="Normal 11 2" xfId="5"/>
    <cellStyle name="Normal 11 3" xfId="6"/>
    <cellStyle name="Normal 11 4" xfId="14"/>
    <cellStyle name="Normal 15" xfId="7"/>
    <cellStyle name="Normal 15 2" xfId="8"/>
    <cellStyle name="Normal 15 3" xfId="9"/>
    <cellStyle name="Normal 15 4" xfId="15"/>
    <cellStyle name="Normal 16" xfId="10"/>
    <cellStyle name="Normal 2" xfId="1"/>
    <cellStyle name="Normal 3" xfId="2"/>
    <cellStyle name="Normal 3 2" xfId="18"/>
    <cellStyle name="Normal 4" xfId="11"/>
    <cellStyle name="Normal 4 2" xfId="17"/>
    <cellStyle name="Normal 5" xfId="12"/>
    <cellStyle name="Standaard_Grondwater" xfId="16"/>
    <cellStyle name="Style 1" xfId="13"/>
  </cellStyles>
  <dxfs count="2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41258/AppData/Roaming/Microsoft/Excel/Fichier%20calcul%20VSH%2011012012%20Organiques%20IV%20old-Juin201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Gillard/AppData/Local/Microsoft/Windows/INetCache/Content.Outlook/ENXEUQ8M/Fichier%20calcul%20VSH%2011012012%20Organiques%20IV%20old-Juin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41258/AppData/Roaming/Microsoft/Excel/BD%20VL%20-%20mod%20TL%2003021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Liste Polluants"/>
      <sheetName val="Valeurs Ksat"/>
      <sheetName val="Organiques"/>
      <sheetName val="Propriétés Polluant"/>
      <sheetName val="Récap-hors TPH "/>
      <sheetName val="Prop. sol+Param expos(défaut)"/>
      <sheetName val="Propriétés sol+Param exposition"/>
      <sheetName val="Lessivage VSN-VIN"/>
      <sheetName val="1. Inhalation Air Intérieur"/>
      <sheetName val="2. Inhalation  Air Extérieur"/>
      <sheetName val="3. Inhalation de sol"/>
      <sheetName val="4. Inhalation Vapeurs Douche"/>
      <sheetName val="5. Contact Dermique Sol"/>
      <sheetName val="6. Contact Eau douche"/>
      <sheetName val="7. Ingestion de sol"/>
      <sheetName val="8. Ingestion d'eau"/>
      <sheetName val="9. Ingestion légumes Organiques"/>
      <sheetName val="10. Ingestion viande-lait-oeufs"/>
      <sheetName val="RESUL-VS"/>
      <sheetName val="RESUL-VS APRES COR"/>
      <sheetName val="RESUL-VI"/>
      <sheetName val="RESUL-VI APRES COR"/>
      <sheetName val="Récap-TPH"/>
    </sheetNames>
    <sheetDataSet>
      <sheetData sheetId="0">
        <row r="1">
          <cell r="A1" t="str">
            <v>Liste</v>
          </cell>
        </row>
        <row r="2">
          <cell r="A2" t="str">
            <v>Chlorobenzene</v>
          </cell>
        </row>
        <row r="3">
          <cell r="A3" t="str">
            <v>Dichlorobenzene, 1,2-</v>
          </cell>
        </row>
        <row r="4">
          <cell r="A4" t="str">
            <v>Dichlorobenzene, 1,3-</v>
          </cell>
        </row>
        <row r="5">
          <cell r="A5" t="str">
            <v>Dichlorobenzene, 1,4-</v>
          </cell>
        </row>
        <row r="6">
          <cell r="A6" t="str">
            <v>Trichlorobenzene, 1,2,3-</v>
          </cell>
        </row>
        <row r="7">
          <cell r="A7" t="str">
            <v>Trichlorobenzene, 1,2,4-</v>
          </cell>
        </row>
        <row r="8">
          <cell r="A8" t="str">
            <v>Trichlorobenzene, 1,3,5-</v>
          </cell>
        </row>
        <row r="9">
          <cell r="A9" t="str">
            <v>Tetrachlorobenzene, 1,2,3,4-</v>
          </cell>
        </row>
        <row r="10">
          <cell r="A10" t="str">
            <v>Tetrachlorobenzene, 1,2,4,5-</v>
          </cell>
        </row>
        <row r="11">
          <cell r="A11" t="str">
            <v>Pentachlorobenzene</v>
          </cell>
        </row>
        <row r="12">
          <cell r="A12" t="str">
            <v>Hexachlorobenzene</v>
          </cell>
        </row>
        <row r="13">
          <cell r="A13" t="str">
            <v>Cresol, o-</v>
          </cell>
        </row>
        <row r="14">
          <cell r="A14" t="str">
            <v>Cresol, m-</v>
          </cell>
        </row>
        <row r="15">
          <cell r="A15" t="str">
            <v>Cresol, p-</v>
          </cell>
        </row>
        <row r="16">
          <cell r="A16" t="str">
            <v>Dimethylphenol, 2,4-</v>
          </cell>
        </row>
        <row r="17">
          <cell r="A17" t="str">
            <v>Dimethylphenol, 2,5-</v>
          </cell>
        </row>
        <row r="18">
          <cell r="A18" t="str">
            <v>Dimethylphenol, 2,6-</v>
          </cell>
        </row>
        <row r="19">
          <cell r="A19" t="str">
            <v>Dimethylphenol, 3,4-</v>
          </cell>
        </row>
        <row r="20">
          <cell r="A20" t="str">
            <v>Chlorophenol, 2-</v>
          </cell>
        </row>
        <row r="21">
          <cell r="A21" t="str">
            <v>Chlorophenol, 3-</v>
          </cell>
        </row>
        <row r="22">
          <cell r="A22" t="str">
            <v>Chlorophenol, 4-</v>
          </cell>
        </row>
        <row r="23">
          <cell r="A23" t="str">
            <v>Dichlorophenol, 2,4-</v>
          </cell>
        </row>
        <row r="24">
          <cell r="A24" t="str">
            <v>Dichlorophenol, 2,6-</v>
          </cell>
        </row>
        <row r="25">
          <cell r="A25" t="str">
            <v>Dichlorophenol, 3,4-</v>
          </cell>
        </row>
        <row r="26">
          <cell r="A26" t="str">
            <v>Dichlorophenol, 3,5-</v>
          </cell>
        </row>
        <row r="27">
          <cell r="A27" t="str">
            <v>Trichlorophenol, 2,3,5-</v>
          </cell>
        </row>
        <row r="28">
          <cell r="A28" t="str">
            <v>Trichlorophenol, 2,3,6-</v>
          </cell>
        </row>
        <row r="29">
          <cell r="A29" t="str">
            <v>Trichlorophenol, 2,4,5-</v>
          </cell>
        </row>
        <row r="30">
          <cell r="A30" t="str">
            <v>Trichlorophenol, 2,4,6-</v>
          </cell>
        </row>
        <row r="31">
          <cell r="A31" t="str">
            <v>Trichlorophenol, 3,4,5-</v>
          </cell>
        </row>
        <row r="32">
          <cell r="A32" t="str">
            <v>Tetrachlorophenol, 2,3,4,5-</v>
          </cell>
        </row>
        <row r="33">
          <cell r="A33" t="str">
            <v>Tetrachlorophenol, 2,3,4,6-</v>
          </cell>
        </row>
        <row r="34">
          <cell r="A34" t="str">
            <v>Pentachlorophenol</v>
          </cell>
        </row>
        <row r="35">
          <cell r="A35" t="str">
            <v>Chloroéthane</v>
          </cell>
        </row>
        <row r="36">
          <cell r="A36" t="str">
            <v>Cumène</v>
          </cell>
        </row>
        <row r="37">
          <cell r="A37" t="str">
            <v>méthylnaphtalène,1</v>
          </cell>
        </row>
        <row r="38">
          <cell r="A38" t="str">
            <v>méthylnaphtalène,2</v>
          </cell>
        </row>
        <row r="39">
          <cell r="A39" t="str">
            <v>Dichloroéthène, 1,1-</v>
          </cell>
        </row>
        <row r="40">
          <cell r="A40" t="str">
            <v>Bromoforme</v>
          </cell>
        </row>
        <row r="41">
          <cell r="A41" t="str">
            <v>Dibromochlorométhane</v>
          </cell>
        </row>
        <row r="42">
          <cell r="A42" t="str">
            <v>DEHP</v>
          </cell>
        </row>
        <row r="43">
          <cell r="A43" t="str">
            <v>Biphényle</v>
          </cell>
        </row>
        <row r="44">
          <cell r="A44" t="str">
            <v>Bromodichlorométhane</v>
          </cell>
        </row>
        <row r="45">
          <cell r="A45" t="str">
            <v>Bifenthrine</v>
          </cell>
        </row>
        <row r="46">
          <cell r="A46" t="str">
            <v>2-Chlorotoluène</v>
          </cell>
        </row>
        <row r="47">
          <cell r="A47" t="str">
            <v>Bromobenzène</v>
          </cell>
        </row>
        <row r="48">
          <cell r="A48" t="str">
            <v>Pyridine</v>
          </cell>
        </row>
        <row r="49">
          <cell r="A49" t="str">
            <v>Formaldéhyde</v>
          </cell>
        </row>
        <row r="50">
          <cell r="A50" t="str">
            <v>Acétaldéhyde</v>
          </cell>
        </row>
        <row r="51">
          <cell r="A51" t="str">
            <v>Diméthylformamide</v>
          </cell>
        </row>
        <row r="52">
          <cell r="A52" t="str">
            <v>Isopropanol</v>
          </cell>
        </row>
        <row r="53">
          <cell r="A53" t="str">
            <v>Ammoniac</v>
          </cell>
        </row>
        <row r="54">
          <cell r="A54" t="str">
            <v>Acide fluorhydrique</v>
          </cell>
        </row>
        <row r="55">
          <cell r="A55" t="str">
            <v>1,1,2,2-tétrachloroéthane</v>
          </cell>
        </row>
        <row r="56">
          <cell r="A56" t="str">
            <v>méthanol</v>
          </cell>
        </row>
        <row r="57">
          <cell r="A57" t="str">
            <v>1-butanol</v>
          </cell>
        </row>
        <row r="58">
          <cell r="A58" t="str">
            <v>2-butanone (MEK)</v>
          </cell>
        </row>
        <row r="59">
          <cell r="A59" t="str">
            <v>acétone</v>
          </cell>
        </row>
        <row r="60">
          <cell r="A60" t="str">
            <v>RDX (hexogen-cyclonite)</v>
          </cell>
        </row>
        <row r="61">
          <cell r="A61" t="str">
            <v>2,4,6-trinitrotoluène (TNT)</v>
          </cell>
        </row>
        <row r="62">
          <cell r="A62" t="str">
            <v>HMX (octogen)</v>
          </cell>
        </row>
        <row r="63">
          <cell r="A63" t="str">
            <v>diphénylamine (DPA)</v>
          </cell>
        </row>
        <row r="64">
          <cell r="A64" t="str">
            <v>1,3,5-trinitrobenzène</v>
          </cell>
        </row>
        <row r="65">
          <cell r="A65" t="str">
            <v>acétonitrile</v>
          </cell>
        </row>
        <row r="68">
          <cell r="A68" t="str">
            <v>MONOMETHYLMERCURE</v>
          </cell>
        </row>
        <row r="69">
          <cell r="A69" t="str">
            <v>DIMETHYLMERCURE</v>
          </cell>
        </row>
        <row r="70">
          <cell r="A70" t="str">
            <v>MERCURE ELEMENTAIRE</v>
          </cell>
        </row>
        <row r="71">
          <cell r="A71" t="str">
            <v>CYANURES LIBRES</v>
          </cell>
        </row>
        <row r="72">
          <cell r="A72" t="str">
            <v>CYANURES COMPLEXES FERROCYANURES DE FER</v>
          </cell>
        </row>
      </sheetData>
      <sheetData sheetId="1">
        <row r="4">
          <cell r="A4" t="str">
            <v>Nappe alluviale (gravier)</v>
          </cell>
        </row>
        <row r="5">
          <cell r="A5" t="str">
            <v>Nappe du Crétacé-Hesbaye (craies)</v>
          </cell>
        </row>
        <row r="6">
          <cell r="A6" t="str">
            <v>Nappe du Bruxellien (sables)</v>
          </cell>
        </row>
        <row r="7">
          <cell r="A7" t="str">
            <v>Nappe calcaire (calcaire)</v>
          </cell>
        </row>
        <row r="8">
          <cell r="A8" t="str">
            <v>Nappe du Sinémurien (sables et grès)</v>
          </cell>
        </row>
        <row r="9">
          <cell r="A9" t="str">
            <v>Shisto-gréseux (aquitard)</v>
          </cell>
        </row>
        <row r="10">
          <cell r="A10" t="str">
            <v>Type inconnu</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iste Polluants"/>
      <sheetName val="Valeurs Ksat"/>
      <sheetName val="Organiques"/>
      <sheetName val="Propriétés Polluant"/>
      <sheetName val="Récap-hors TPH "/>
      <sheetName val="Prop. sol+Param expos(défaut)"/>
      <sheetName val="Propriétés sol+Param exposition"/>
      <sheetName val="Lessivage VSN-VIN"/>
      <sheetName val="1. Inhalation Air Intérieur"/>
      <sheetName val="2. Inhalation  Air Extérieur"/>
      <sheetName val="3. Inhalation de sol"/>
      <sheetName val="4. Inhalation Vapeurs Douche"/>
      <sheetName val="5. Contact Dermique Sol"/>
      <sheetName val="6. Contact Eau douche"/>
      <sheetName val="7. Ingestion de sol"/>
      <sheetName val="8. Ingestion d'eau"/>
      <sheetName val="9. Ingestion légumes Organiques"/>
      <sheetName val="10. Ingestion viande-lait-oeufs"/>
      <sheetName val="RESUL-VS"/>
      <sheetName val="RESUL-VS APRES COR"/>
      <sheetName val="RESUL-VI"/>
      <sheetName val="RESUL-VI APRES COR"/>
      <sheetName val="Récap-TPH"/>
    </sheetNames>
    <sheetDataSet>
      <sheetData sheetId="0">
        <row r="1">
          <cell r="A1" t="str">
            <v>Liste</v>
          </cell>
        </row>
        <row r="2">
          <cell r="A2" t="str">
            <v>Chlorobenzene</v>
          </cell>
        </row>
        <row r="3">
          <cell r="A3" t="str">
            <v>Dichlorobenzene, 1,2-</v>
          </cell>
        </row>
        <row r="4">
          <cell r="A4" t="str">
            <v>Dichlorobenzene, 1,3-</v>
          </cell>
        </row>
        <row r="5">
          <cell r="A5" t="str">
            <v>Dichlorobenzene, 1,4-</v>
          </cell>
        </row>
        <row r="6">
          <cell r="A6" t="str">
            <v>Trichlorobenzene, 1,2,3-</v>
          </cell>
        </row>
        <row r="7">
          <cell r="A7" t="str">
            <v>Trichlorobenzene, 1,2,4-</v>
          </cell>
        </row>
        <row r="8">
          <cell r="A8" t="str">
            <v>Trichlorobenzene, 1,3,5-</v>
          </cell>
        </row>
        <row r="9">
          <cell r="A9" t="str">
            <v>Tetrachlorobenzene, 1,2,3,4-</v>
          </cell>
        </row>
        <row r="10">
          <cell r="A10" t="str">
            <v>Tetrachlorobenzene, 1,2,4,5-</v>
          </cell>
        </row>
        <row r="11">
          <cell r="A11" t="str">
            <v>Pentachlorobenzene</v>
          </cell>
        </row>
        <row r="12">
          <cell r="A12" t="str">
            <v>Hexachlorobenzene</v>
          </cell>
        </row>
        <row r="13">
          <cell r="A13" t="str">
            <v>Cresol, o-</v>
          </cell>
        </row>
        <row r="14">
          <cell r="A14" t="str">
            <v>Cresol, m-</v>
          </cell>
        </row>
        <row r="15">
          <cell r="A15" t="str">
            <v>Cresol, p-</v>
          </cell>
        </row>
        <row r="16">
          <cell r="A16" t="str">
            <v>Dimethylphenol, 2,4-</v>
          </cell>
        </row>
        <row r="17">
          <cell r="A17" t="str">
            <v>Dimethylphenol, 2,5-</v>
          </cell>
        </row>
        <row r="18">
          <cell r="A18" t="str">
            <v>Dimethylphenol, 2,6-</v>
          </cell>
        </row>
        <row r="19">
          <cell r="A19" t="str">
            <v>Dimethylphenol, 3,4-</v>
          </cell>
        </row>
        <row r="20">
          <cell r="A20" t="str">
            <v>Chlorophenol, 2-</v>
          </cell>
        </row>
        <row r="21">
          <cell r="A21" t="str">
            <v>Chlorophenol, 3-</v>
          </cell>
        </row>
        <row r="22">
          <cell r="A22" t="str">
            <v>Chlorophenol, 4-</v>
          </cell>
        </row>
        <row r="23">
          <cell r="A23" t="str">
            <v>Dichlorophenol, 2,4-</v>
          </cell>
        </row>
        <row r="24">
          <cell r="A24" t="str">
            <v>Dichlorophenol, 2,6-</v>
          </cell>
        </row>
        <row r="25">
          <cell r="A25" t="str">
            <v>Dichlorophenol, 3,4-</v>
          </cell>
        </row>
        <row r="26">
          <cell r="A26" t="str">
            <v>Dichlorophenol, 3,5-</v>
          </cell>
        </row>
        <row r="27">
          <cell r="A27" t="str">
            <v>Trichlorophenol, 2,3,5-</v>
          </cell>
        </row>
        <row r="28">
          <cell r="A28" t="str">
            <v>Trichlorophenol, 2,3,6-</v>
          </cell>
        </row>
        <row r="29">
          <cell r="A29" t="str">
            <v>Trichlorophenol, 2,4,5-</v>
          </cell>
        </row>
        <row r="30">
          <cell r="A30" t="str">
            <v>Trichlorophenol, 2,4,6-</v>
          </cell>
        </row>
        <row r="31">
          <cell r="A31" t="str">
            <v>Trichlorophenol, 3,4,5-</v>
          </cell>
        </row>
        <row r="32">
          <cell r="A32" t="str">
            <v>Tetrachlorophenol, 2,3,4,5-</v>
          </cell>
        </row>
        <row r="33">
          <cell r="A33" t="str">
            <v>Tetrachlorophenol, 2,3,4,6-</v>
          </cell>
        </row>
        <row r="34">
          <cell r="A34" t="str">
            <v>Pentachlorophenol</v>
          </cell>
        </row>
        <row r="35">
          <cell r="A35" t="str">
            <v>Chloroéthane</v>
          </cell>
        </row>
        <row r="36">
          <cell r="A36" t="str">
            <v>Cumène</v>
          </cell>
        </row>
        <row r="37">
          <cell r="A37" t="str">
            <v>méthylnaphtalène,1</v>
          </cell>
        </row>
        <row r="38">
          <cell r="A38" t="str">
            <v>méthylnaphtalène,2</v>
          </cell>
        </row>
        <row r="39">
          <cell r="A39" t="str">
            <v>Dichloroéthène, 1,1-</v>
          </cell>
        </row>
        <row r="40">
          <cell r="A40" t="str">
            <v>Bromoforme</v>
          </cell>
        </row>
        <row r="41">
          <cell r="A41" t="str">
            <v>Dibromochlorométhane</v>
          </cell>
        </row>
        <row r="42">
          <cell r="A42" t="str">
            <v>DEHP</v>
          </cell>
        </row>
        <row r="43">
          <cell r="A43" t="str">
            <v>Biphényle</v>
          </cell>
        </row>
        <row r="44">
          <cell r="A44" t="str">
            <v>Bromodichlorométhane</v>
          </cell>
        </row>
        <row r="45">
          <cell r="A45" t="str">
            <v>Bifenthrine</v>
          </cell>
        </row>
        <row r="46">
          <cell r="A46" t="str">
            <v>2-Chlorotoluène</v>
          </cell>
        </row>
        <row r="47">
          <cell r="A47" t="str">
            <v>Bromobenzène</v>
          </cell>
        </row>
        <row r="48">
          <cell r="A48" t="str">
            <v>Pyridine</v>
          </cell>
        </row>
        <row r="49">
          <cell r="A49" t="str">
            <v>Formaldéhyde</v>
          </cell>
        </row>
        <row r="50">
          <cell r="A50" t="str">
            <v>Acétaldéhyde</v>
          </cell>
        </row>
        <row r="51">
          <cell r="A51" t="str">
            <v>Diméthylformamide</v>
          </cell>
        </row>
        <row r="52">
          <cell r="A52" t="str">
            <v>Isopropanol</v>
          </cell>
        </row>
        <row r="53">
          <cell r="A53" t="str">
            <v>Ammoniac</v>
          </cell>
        </row>
        <row r="54">
          <cell r="A54" t="str">
            <v>Acide fluorhydrique</v>
          </cell>
        </row>
        <row r="55">
          <cell r="A55" t="str">
            <v>1,1,2,2-tétrachloroéthane</v>
          </cell>
        </row>
        <row r="56">
          <cell r="A56" t="str">
            <v>méthanol</v>
          </cell>
        </row>
        <row r="57">
          <cell r="A57" t="str">
            <v>1-butanol</v>
          </cell>
        </row>
        <row r="58">
          <cell r="A58" t="str">
            <v>2-butanone (MEK)</v>
          </cell>
        </row>
        <row r="59">
          <cell r="A59" t="str">
            <v>acétone</v>
          </cell>
        </row>
        <row r="60">
          <cell r="A60" t="str">
            <v>RDX (hexogen-cyclonite)</v>
          </cell>
        </row>
        <row r="61">
          <cell r="A61" t="str">
            <v>2,4,6-trinitrotoluène (TNT)</v>
          </cell>
        </row>
        <row r="62">
          <cell r="A62" t="str">
            <v>HMX (octogen)</v>
          </cell>
        </row>
        <row r="63">
          <cell r="A63" t="str">
            <v>diphénylamine (DPA)</v>
          </cell>
        </row>
        <row r="64">
          <cell r="A64" t="str">
            <v>1,3,5-trinitrobenzène</v>
          </cell>
        </row>
        <row r="65">
          <cell r="A65" t="str">
            <v>acétonitrile</v>
          </cell>
        </row>
        <row r="68">
          <cell r="A68" t="str">
            <v>MONOMETHYLMERCURE</v>
          </cell>
        </row>
        <row r="69">
          <cell r="A69" t="str">
            <v>DIMETHYLMERCURE</v>
          </cell>
        </row>
        <row r="70">
          <cell r="A70" t="str">
            <v>MERCURE ELEMENTAIRE</v>
          </cell>
        </row>
        <row r="71">
          <cell r="A71" t="str">
            <v>CYANURES LIBRES</v>
          </cell>
        </row>
        <row r="72">
          <cell r="A72" t="str">
            <v>CYANURES COMPLEXES FERROCYANURES DE FER</v>
          </cell>
        </row>
      </sheetData>
      <sheetData sheetId="1">
        <row r="4">
          <cell r="A4" t="str">
            <v>Nappe alluviale (gravier)</v>
          </cell>
        </row>
        <row r="5">
          <cell r="A5" t="str">
            <v>Nappe du Crétacé-Hesbaye (craies)</v>
          </cell>
        </row>
        <row r="6">
          <cell r="A6" t="str">
            <v>Nappe du Bruxellien (sables)</v>
          </cell>
        </row>
        <row r="7">
          <cell r="A7" t="str">
            <v>Nappe calcaire (calcaire)</v>
          </cell>
        </row>
        <row r="8">
          <cell r="A8" t="str">
            <v>Nappe du Sinémurien (sables et grès)</v>
          </cell>
        </row>
        <row r="9">
          <cell r="A9" t="str">
            <v>Shisto-gréseux (aquitard)</v>
          </cell>
        </row>
        <row r="10">
          <cell r="A10" t="str">
            <v>Type inconnu</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ynthèse"/>
      <sheetName val="VLH - détail"/>
      <sheetName val="VLnappe - détail"/>
      <sheetName val="PNN ss valeurs limites"/>
    </sheetNames>
    <sheetDataSet>
      <sheetData sheetId="0" refreshError="1"/>
      <sheetData sheetId="1" refreshError="1">
        <row r="5">
          <cell r="F5">
            <v>262368.81559220387</v>
          </cell>
        </row>
        <row r="8">
          <cell r="F8">
            <v>327.25572697522205</v>
          </cell>
          <cell r="I8">
            <v>122.10012210012211</v>
          </cell>
          <cell r="O8">
            <v>313.34932054356511</v>
          </cell>
          <cell r="P8">
            <v>313.34932054356511</v>
          </cell>
        </row>
        <row r="10">
          <cell r="F10">
            <v>52473.76311844078</v>
          </cell>
          <cell r="I10">
            <v>34072.379310344826</v>
          </cell>
          <cell r="O10">
            <v>52473.76311844078</v>
          </cell>
          <cell r="P10">
            <v>311111.11111111112</v>
          </cell>
        </row>
        <row r="14">
          <cell r="F14">
            <v>787106.44677661173</v>
          </cell>
          <cell r="I14">
            <v>248.59103296351958</v>
          </cell>
          <cell r="O14">
            <v>787106.44677661173</v>
          </cell>
          <cell r="P14">
            <v>1000000</v>
          </cell>
        </row>
        <row r="33">
          <cell r="F33">
            <v>37.608622134434668</v>
          </cell>
          <cell r="I33">
            <v>1.4490957168462656E-2</v>
          </cell>
          <cell r="O33">
            <v>2.1722360715247473</v>
          </cell>
          <cell r="P33">
            <v>110.26705361566367</v>
          </cell>
        </row>
        <row r="40">
          <cell r="F40">
            <v>4670.6049207358301</v>
          </cell>
          <cell r="I40">
            <v>3.9468827298432525</v>
          </cell>
          <cell r="O40">
            <v>4670.6049207358301</v>
          </cell>
          <cell r="P40">
            <v>21362.868152519542</v>
          </cell>
        </row>
        <row r="42">
          <cell r="F42">
            <v>140.1181476220749</v>
          </cell>
          <cell r="I42">
            <v>6.2492178047313204E-2</v>
          </cell>
          <cell r="O42">
            <v>140.1181476220749</v>
          </cell>
          <cell r="P42">
            <v>640.8860445755862</v>
          </cell>
        </row>
        <row r="43">
          <cell r="F43">
            <v>233.53024603679154</v>
          </cell>
          <cell r="I43">
            <v>0.20529203724157971</v>
          </cell>
          <cell r="O43">
            <v>233.53024603679154</v>
          </cell>
          <cell r="P43">
            <v>1068.143407625977</v>
          </cell>
        </row>
        <row r="61">
          <cell r="F61">
            <v>16347.117222575407</v>
          </cell>
          <cell r="I61">
            <v>9.0862008809759196</v>
          </cell>
          <cell r="O61">
            <v>16347.117222575407</v>
          </cell>
          <cell r="P61">
            <v>74770.038533818399</v>
          </cell>
        </row>
        <row r="62">
          <cell r="F62">
            <v>934.12098414716615</v>
          </cell>
          <cell r="I62">
            <v>1.7473668789957979</v>
          </cell>
          <cell r="O62">
            <v>934.12098414716615</v>
          </cell>
          <cell r="P62">
            <v>4272.5736305039081</v>
          </cell>
        </row>
        <row r="63">
          <cell r="F63">
            <v>382.4900945936725</v>
          </cell>
          <cell r="I63">
            <v>1.1954659023975227</v>
          </cell>
          <cell r="O63">
            <v>5.6574259391335788</v>
          </cell>
          <cell r="P63">
            <v>5.6574259391335788</v>
          </cell>
        </row>
        <row r="65">
          <cell r="F65">
            <v>15.021089814738501</v>
          </cell>
          <cell r="I65">
            <v>1.5449350894669549E-2</v>
          </cell>
          <cell r="O65">
            <v>0.24823560213161164</v>
          </cell>
          <cell r="P65">
            <v>0.24823560213161164</v>
          </cell>
        </row>
        <row r="66">
          <cell r="F66">
            <v>605.57477020829401</v>
          </cell>
          <cell r="I66">
            <v>0.75146781827910769</v>
          </cell>
          <cell r="O66">
            <v>564.0444958810391</v>
          </cell>
          <cell r="P66">
            <v>1121.8757047255683</v>
          </cell>
        </row>
        <row r="68">
          <cell r="F68">
            <v>990.46864193300132</v>
          </cell>
          <cell r="I68">
            <v>0.84004848462143333</v>
          </cell>
          <cell r="O68">
            <v>67.546853597359629</v>
          </cell>
          <cell r="P68">
            <v>1446.0742701590618</v>
          </cell>
        </row>
        <row r="69">
          <cell r="F69">
            <v>144.88617343434186</v>
          </cell>
          <cell r="I69">
            <v>7.3188110518551105E-2</v>
          </cell>
          <cell r="O69">
            <v>144.88617343434186</v>
          </cell>
          <cell r="P69">
            <v>267.9929696552631</v>
          </cell>
        </row>
        <row r="70">
          <cell r="F70">
            <v>121.43572793913158</v>
          </cell>
          <cell r="I70">
            <v>4.3089112380343395E-2</v>
          </cell>
          <cell r="O70">
            <v>136.43178410794602</v>
          </cell>
          <cell r="P70">
            <v>808.8888888888888</v>
          </cell>
        </row>
        <row r="72">
          <cell r="F72">
            <v>140118.1476220749</v>
          </cell>
          <cell r="I72">
            <v>49.718206592703915</v>
          </cell>
          <cell r="O72">
            <v>157421.28935532231</v>
          </cell>
          <cell r="P72">
            <v>933333.33333333326</v>
          </cell>
        </row>
        <row r="73">
          <cell r="F73">
            <v>3502.9536905518726</v>
          </cell>
          <cell r="I73">
            <v>355.91439281548418</v>
          </cell>
          <cell r="O73">
            <v>3502.9536905518726</v>
          </cell>
          <cell r="P73">
            <v>16022.151114389655</v>
          </cell>
        </row>
        <row r="74">
          <cell r="F74">
            <v>4670.6049207358301</v>
          </cell>
          <cell r="I74">
            <v>4.719137496922797</v>
          </cell>
          <cell r="O74">
            <v>4670.6049207358301</v>
          </cell>
          <cell r="P74">
            <v>21362.868152519542</v>
          </cell>
        </row>
        <row r="75">
          <cell r="F75">
            <v>1609.0537909578038</v>
          </cell>
          <cell r="I75">
            <v>1.0124928703594012</v>
          </cell>
          <cell r="O75">
            <v>136.63541716980768</v>
          </cell>
          <cell r="P75">
            <v>136.63541716980768</v>
          </cell>
        </row>
        <row r="76">
          <cell r="F76">
            <v>1.832819893482923</v>
          </cell>
          <cell r="I76">
            <v>0.16371629283303474</v>
          </cell>
          <cell r="O76">
            <v>1.7864029036345181</v>
          </cell>
          <cell r="P76">
            <v>4.2174662325288672</v>
          </cell>
        </row>
        <row r="78">
          <cell r="F78">
            <v>204.41607069736952</v>
          </cell>
          <cell r="I78">
            <v>0.62479461662108426</v>
          </cell>
          <cell r="O78">
            <v>3.7178596696856796</v>
          </cell>
          <cell r="P78">
            <v>3.7178596696856796</v>
          </cell>
        </row>
        <row r="79">
          <cell r="F79">
            <v>1428.3611679979356</v>
          </cell>
          <cell r="I79">
            <v>12.710423021821594</v>
          </cell>
          <cell r="O79">
            <v>53.602315901430899</v>
          </cell>
          <cell r="P79">
            <v>53.602315901430899</v>
          </cell>
        </row>
        <row r="80">
          <cell r="F80">
            <v>410.06311427601264</v>
          </cell>
          <cell r="I80">
            <v>1.5044156972875373</v>
          </cell>
          <cell r="O80">
            <v>6.3292102465827451</v>
          </cell>
          <cell r="P80">
            <v>6.3292102465827451</v>
          </cell>
        </row>
        <row r="91">
          <cell r="F91">
            <v>1000000</v>
          </cell>
          <cell r="I91">
            <v>2904.9020293056128</v>
          </cell>
          <cell r="O91">
            <v>12249.239915349706</v>
          </cell>
          <cell r="P91">
            <v>12249.239915349706</v>
          </cell>
        </row>
        <row r="92">
          <cell r="F92">
            <v>132189.78663510387</v>
          </cell>
          <cell r="I92">
            <v>1551.7523352655483</v>
          </cell>
          <cell r="O92">
            <v>6561.4516336929273</v>
          </cell>
          <cell r="P92">
            <v>6561.4516336929273</v>
          </cell>
        </row>
        <row r="93">
          <cell r="F93">
            <v>102891.31427988413</v>
          </cell>
          <cell r="I93">
            <v>46.239879433657372</v>
          </cell>
          <cell r="O93">
            <v>7638.3524440680731</v>
          </cell>
          <cell r="P93">
            <v>7638.3524440680731</v>
          </cell>
        </row>
        <row r="94">
          <cell r="F94">
            <v>182888.49485101629</v>
          </cell>
          <cell r="I94">
            <v>76.471970905360237</v>
          </cell>
          <cell r="O94">
            <v>45976.789528208894</v>
          </cell>
          <cell r="P94">
            <v>45976.789528208894</v>
          </cell>
        </row>
        <row r="95">
          <cell r="F95">
            <v>81.663115935719944</v>
          </cell>
          <cell r="I95">
            <v>1.6311214258584165E-2</v>
          </cell>
          <cell r="O95">
            <v>81.663115935719944</v>
          </cell>
          <cell r="P95">
            <v>151.05058289660283</v>
          </cell>
        </row>
        <row r="96">
          <cell r="F96">
            <v>116.76512301839577</v>
          </cell>
          <cell r="I96">
            <v>3.5306628824072255E-2</v>
          </cell>
          <cell r="O96">
            <v>116.76512301839577</v>
          </cell>
          <cell r="P96">
            <v>534.07170381298852</v>
          </cell>
        </row>
        <row r="97">
          <cell r="F97">
            <v>11676.512301839577</v>
          </cell>
          <cell r="I97">
            <v>4997.0585484187868</v>
          </cell>
          <cell r="O97">
            <v>11676.512301839577</v>
          </cell>
          <cell r="P97">
            <v>53407.170381298849</v>
          </cell>
        </row>
        <row r="98">
          <cell r="F98">
            <v>5838.2561509197885</v>
          </cell>
          <cell r="I98">
            <v>1.9769159154842482</v>
          </cell>
          <cell r="O98">
            <v>5838.2561509197885</v>
          </cell>
          <cell r="P98">
            <v>26703.585190649424</v>
          </cell>
        </row>
        <row r="99">
          <cell r="F99">
            <v>7005.9073811037451</v>
          </cell>
          <cell r="I99">
            <v>1.8545866093730441</v>
          </cell>
          <cell r="O99">
            <v>7005.9073811037451</v>
          </cell>
          <cell r="P99">
            <v>32044.30222877931</v>
          </cell>
        </row>
        <row r="100">
          <cell r="F100">
            <v>2765.3862817462082</v>
          </cell>
          <cell r="I100">
            <v>23.083695369697121</v>
          </cell>
          <cell r="O100">
            <v>97.323771501693329</v>
          </cell>
          <cell r="P100">
            <v>97.323771501693329</v>
          </cell>
        </row>
        <row r="105">
          <cell r="F105">
            <v>20.319793706751607</v>
          </cell>
          <cell r="I105">
            <v>1.383348914369399E-2</v>
          </cell>
          <cell r="O105">
            <v>0.61759195926919686</v>
          </cell>
          <cell r="P105">
            <v>0.61759195926919686</v>
          </cell>
        </row>
        <row r="106">
          <cell r="F106">
            <v>23353.024603679154</v>
          </cell>
          <cell r="I106">
            <v>7.9058585632262748</v>
          </cell>
          <cell r="O106">
            <v>23353.024603679154</v>
          </cell>
          <cell r="P106">
            <v>106814.3407625977</v>
          </cell>
        </row>
        <row r="117">
          <cell r="F117">
            <v>46505.798913669598</v>
          </cell>
          <cell r="I117">
            <v>24.01941644240625</v>
          </cell>
          <cell r="O117">
            <v>46045.773936902682</v>
          </cell>
          <cell r="P117">
            <v>212808.99297273095</v>
          </cell>
        </row>
        <row r="118">
          <cell r="F118">
            <v>107789.24049059166</v>
          </cell>
          <cell r="I118">
            <v>134.55347642306737</v>
          </cell>
          <cell r="O118">
            <v>95273.381506507925</v>
          </cell>
          <cell r="P118">
            <v>687965.68187813996</v>
          </cell>
        </row>
        <row r="119">
          <cell r="F119">
            <v>11199.129919423856</v>
          </cell>
          <cell r="I119">
            <v>4.099044215689216</v>
          </cell>
          <cell r="O119">
            <v>7936.1260786617704</v>
          </cell>
          <cell r="P119">
            <v>50662.30564119522</v>
          </cell>
        </row>
        <row r="122">
          <cell r="F122">
            <v>1234.9045456104641</v>
          </cell>
          <cell r="I122">
            <v>3.284736997093133</v>
          </cell>
          <cell r="O122">
            <v>18.701619962558585</v>
          </cell>
          <cell r="P122">
            <v>18.701619962558585</v>
          </cell>
        </row>
        <row r="123">
          <cell r="F123">
            <v>0.29913199367254212</v>
          </cell>
          <cell r="I123">
            <v>9.4247295437255939E-5</v>
          </cell>
          <cell r="O123">
            <v>0.29913199367254212</v>
          </cell>
          <cell r="P123">
            <v>0.54287481118127823</v>
          </cell>
        </row>
        <row r="126">
          <cell r="F126">
            <v>32.364235316321661</v>
          </cell>
          <cell r="I126">
            <v>0.11001466814254791</v>
          </cell>
          <cell r="O126">
            <v>0.46278462903566614</v>
          </cell>
          <cell r="P126">
            <v>0.46278462903566614</v>
          </cell>
        </row>
        <row r="128">
          <cell r="F128">
            <v>30.415118344313026</v>
          </cell>
          <cell r="I128">
            <v>9.4160707002133703E-3</v>
          </cell>
          <cell r="O128">
            <v>3.4965395959746335</v>
          </cell>
          <cell r="P128">
            <v>3.4965395959746335</v>
          </cell>
        </row>
        <row r="129">
          <cell r="F129">
            <v>46.706049207358312</v>
          </cell>
          <cell r="I129">
            <v>0.12619580415673354</v>
          </cell>
          <cell r="O129">
            <v>3.4780605286393866</v>
          </cell>
          <cell r="P129">
            <v>3.4780605286393866</v>
          </cell>
        </row>
        <row r="131">
          <cell r="F131">
            <v>2722.1038645239983</v>
          </cell>
          <cell r="I131">
            <v>1.6817111783139185</v>
          </cell>
          <cell r="O131">
            <v>2722.1038645239983</v>
          </cell>
          <cell r="P131">
            <v>5035.0194298867609</v>
          </cell>
        </row>
        <row r="145">
          <cell r="F145">
            <v>17.278331328519599</v>
          </cell>
          <cell r="I145">
            <v>2.3276425566599295E-2</v>
          </cell>
          <cell r="O145">
            <v>0.24591027197751561</v>
          </cell>
          <cell r="P145">
            <v>0.24591027197751561</v>
          </cell>
        </row>
        <row r="148">
          <cell r="F148">
            <v>0.9794715461012321</v>
          </cell>
          <cell r="I148">
            <v>9.8940748185112441E-4</v>
          </cell>
          <cell r="O148">
            <v>0.94420293187602389</v>
          </cell>
          <cell r="P148">
            <v>1.6431147766946306</v>
          </cell>
        </row>
        <row r="151">
          <cell r="F151">
            <v>1.5707813609549421</v>
          </cell>
          <cell r="I151">
            <v>3.4932520977744193E-3</v>
          </cell>
          <cell r="O151">
            <v>0.96099986030534779</v>
          </cell>
          <cell r="P151">
            <v>1.3820483601097817</v>
          </cell>
        </row>
        <row r="166">
          <cell r="F166">
            <v>160.40969201659274</v>
          </cell>
          <cell r="I166">
            <v>4.0566109328773393E-2</v>
          </cell>
          <cell r="O166">
            <v>160.40969201659274</v>
          </cell>
          <cell r="P166">
            <v>296.70650211832697</v>
          </cell>
        </row>
        <row r="167">
          <cell r="F167">
            <v>4.1090305061615764</v>
          </cell>
          <cell r="I167">
            <v>1.5190036499368875E-2</v>
          </cell>
          <cell r="O167">
            <v>3.5385245830025518</v>
          </cell>
          <cell r="P167">
            <v>6.6365259829843328</v>
          </cell>
        </row>
        <row r="168">
          <cell r="F168">
            <v>7005.9073811037451</v>
          </cell>
          <cell r="I168">
            <v>2.4266237141888647</v>
          </cell>
          <cell r="O168">
            <v>7005.9073811037451</v>
          </cell>
          <cell r="P168">
            <v>32044.30222877931</v>
          </cell>
        </row>
        <row r="170">
          <cell r="F170">
            <v>4670.6049207358301</v>
          </cell>
          <cell r="I170">
            <v>12.164790134978812</v>
          </cell>
          <cell r="O170">
            <v>4670.6049207358301</v>
          </cell>
          <cell r="P170">
            <v>21362.868152519542</v>
          </cell>
        </row>
        <row r="172">
          <cell r="F172">
            <v>23353.024603679154</v>
          </cell>
          <cell r="I172">
            <v>8.068464855554252</v>
          </cell>
          <cell r="O172">
            <v>23353.024603679154</v>
          </cell>
          <cell r="P172">
            <v>106814.3407625977</v>
          </cell>
        </row>
        <row r="173">
          <cell r="F173">
            <v>11676.512301839577</v>
          </cell>
          <cell r="I173">
            <v>5.652143902650403</v>
          </cell>
          <cell r="O173">
            <v>11676.512301839577</v>
          </cell>
          <cell r="P173">
            <v>53407.170381298849</v>
          </cell>
        </row>
        <row r="174">
          <cell r="F174">
            <v>2638.8917802157439</v>
          </cell>
          <cell r="I174">
            <v>2.3416193199819029</v>
          </cell>
          <cell r="O174">
            <v>2638.8917802157439</v>
          </cell>
          <cell r="P174">
            <v>12070.02050617354</v>
          </cell>
        </row>
        <row r="175">
          <cell r="F175">
            <v>46.238988715284719</v>
          </cell>
          <cell r="I175">
            <v>1.5651987792184675E-2</v>
          </cell>
          <cell r="O175">
            <v>46.238988715284719</v>
          </cell>
          <cell r="P175">
            <v>211.49239470994343</v>
          </cell>
        </row>
        <row r="179">
          <cell r="F179">
            <v>7005.9073811037451</v>
          </cell>
          <cell r="I179">
            <v>2.3713721413326669</v>
          </cell>
          <cell r="O179">
            <v>7005.9073811037451</v>
          </cell>
          <cell r="P179">
            <v>32044.30222877931</v>
          </cell>
        </row>
        <row r="181">
          <cell r="F181">
            <v>467.06049207358308</v>
          </cell>
          <cell r="I181">
            <v>0.45643919050443116</v>
          </cell>
          <cell r="O181">
            <v>467.06049207358308</v>
          </cell>
          <cell r="P181">
            <v>2136.2868152519541</v>
          </cell>
        </row>
        <row r="182">
          <cell r="F182">
            <v>16347.117222575407</v>
          </cell>
          <cell r="I182">
            <v>9.1651599670876003</v>
          </cell>
          <cell r="O182">
            <v>16347.117222575407</v>
          </cell>
          <cell r="P182">
            <v>74770.038533818399</v>
          </cell>
        </row>
        <row r="184">
          <cell r="F184">
            <v>7706.4981192141213</v>
          </cell>
          <cell r="I184">
            <v>2.0398057066306956</v>
          </cell>
          <cell r="O184">
            <v>7706.4981192141213</v>
          </cell>
          <cell r="P184">
            <v>35248.732451657241</v>
          </cell>
        </row>
        <row r="185">
          <cell r="F185">
            <v>700.59073811037456</v>
          </cell>
          <cell r="I185">
            <v>0.31110547240009945</v>
          </cell>
          <cell r="O185">
            <v>700.59073811037456</v>
          </cell>
          <cell r="P185">
            <v>3204.4302228779306</v>
          </cell>
        </row>
        <row r="186">
          <cell r="F186">
            <v>467.06049207358308</v>
          </cell>
          <cell r="I186">
            <v>0.46470976482626952</v>
          </cell>
          <cell r="O186">
            <v>467.06049207358308</v>
          </cell>
          <cell r="P186">
            <v>2136.2868152519541</v>
          </cell>
        </row>
        <row r="187">
          <cell r="F187">
            <v>7005.9073811037451</v>
          </cell>
          <cell r="I187">
            <v>1.9315351825712983</v>
          </cell>
          <cell r="O187">
            <v>7005.9073811037451</v>
          </cell>
          <cell r="P187">
            <v>32044.30222877931</v>
          </cell>
        </row>
        <row r="188">
          <cell r="F188">
            <v>18682.41968294332</v>
          </cell>
          <cell r="I188">
            <v>6.8503761939898338</v>
          </cell>
          <cell r="O188">
            <v>18682.41968294332</v>
          </cell>
          <cell r="P188">
            <v>85451.47261007817</v>
          </cell>
        </row>
        <row r="190">
          <cell r="F190">
            <v>1868.2419682943323</v>
          </cell>
          <cell r="I190">
            <v>0.81734114841509053</v>
          </cell>
          <cell r="O190">
            <v>1868.2419682943323</v>
          </cell>
          <cell r="P190">
            <v>8545.1472610078163</v>
          </cell>
        </row>
        <row r="191">
          <cell r="F191">
            <v>817.35586112877036</v>
          </cell>
          <cell r="I191">
            <v>0.25297501805843886</v>
          </cell>
          <cell r="O191">
            <v>817.35586112877036</v>
          </cell>
          <cell r="P191">
            <v>3738.5019266909194</v>
          </cell>
        </row>
        <row r="193">
          <cell r="F193">
            <v>700.59073811037456</v>
          </cell>
          <cell r="I193">
            <v>0.39531418522807871</v>
          </cell>
          <cell r="O193">
            <v>700.59073811037456</v>
          </cell>
          <cell r="P193">
            <v>3204.4302228779306</v>
          </cell>
        </row>
        <row r="195">
          <cell r="F195">
            <v>934.12098414716615</v>
          </cell>
          <cell r="I195">
            <v>0.53531866416774199</v>
          </cell>
          <cell r="O195">
            <v>934.12098414716615</v>
          </cell>
          <cell r="P195">
            <v>4272.5736305039081</v>
          </cell>
        </row>
        <row r="196">
          <cell r="F196">
            <v>3035.8931984782894</v>
          </cell>
          <cell r="I196">
            <v>3.0036829279116017</v>
          </cell>
          <cell r="O196">
            <v>3035.8931984782894</v>
          </cell>
          <cell r="P196">
            <v>13885.8642991377</v>
          </cell>
        </row>
        <row r="197">
          <cell r="F197">
            <v>1167.6512301839575</v>
          </cell>
          <cell r="I197">
            <v>0.57059957013381202</v>
          </cell>
          <cell r="O197">
            <v>1167.6512301839575</v>
          </cell>
          <cell r="P197">
            <v>5340.7170381298856</v>
          </cell>
        </row>
        <row r="198">
          <cell r="F198">
            <v>4670.6049207358301</v>
          </cell>
          <cell r="I198">
            <v>1.940635788709957</v>
          </cell>
          <cell r="O198">
            <v>4670.6049207358301</v>
          </cell>
          <cell r="P198">
            <v>21362.868152519542</v>
          </cell>
        </row>
        <row r="200">
          <cell r="F200">
            <v>121.43572793913158</v>
          </cell>
          <cell r="I200">
            <v>0.11249160421676309</v>
          </cell>
          <cell r="O200">
            <v>121.43572793913158</v>
          </cell>
          <cell r="P200">
            <v>555.43457196550798</v>
          </cell>
        </row>
        <row r="201">
          <cell r="F201">
            <v>513.7665412809414</v>
          </cell>
          <cell r="I201">
            <v>0.51000280423543132</v>
          </cell>
          <cell r="O201">
            <v>513.7665412809414</v>
          </cell>
          <cell r="P201">
            <v>2349.9154967771497</v>
          </cell>
        </row>
        <row r="202">
          <cell r="F202">
            <v>233.53024603679154</v>
          </cell>
          <cell r="I202">
            <v>0.18936232179624066</v>
          </cell>
          <cell r="O202">
            <v>233.53024603679154</v>
          </cell>
          <cell r="P202">
            <v>1068.143407625977</v>
          </cell>
        </row>
        <row r="203">
          <cell r="F203">
            <v>36.776715318568783</v>
          </cell>
          <cell r="I203">
            <v>8.7354161261959051E-2</v>
          </cell>
          <cell r="O203">
            <v>34.52739271552413</v>
          </cell>
          <cell r="P203">
            <v>67.347223572387477</v>
          </cell>
        </row>
        <row r="204">
          <cell r="F204">
            <v>25.115994224284055</v>
          </cell>
          <cell r="I204">
            <v>1.1515066552416842E-2</v>
          </cell>
          <cell r="O204">
            <v>20.392046770972527</v>
          </cell>
          <cell r="P204">
            <v>44.981693345838003</v>
          </cell>
        </row>
        <row r="206">
          <cell r="F206">
            <v>3.0857060888023802</v>
          </cell>
          <cell r="I206">
            <v>1.030987658621395E-2</v>
          </cell>
          <cell r="O206">
            <v>2.1483899002081772</v>
          </cell>
          <cell r="P206">
            <v>3.965295316847369</v>
          </cell>
        </row>
        <row r="207">
          <cell r="F207">
            <v>2335.302460367915</v>
          </cell>
          <cell r="I207">
            <v>0.79098496366060445</v>
          </cell>
          <cell r="O207">
            <v>2335.302460367915</v>
          </cell>
          <cell r="P207">
            <v>10681.434076259771</v>
          </cell>
        </row>
        <row r="208">
          <cell r="F208">
            <v>8500.5009557392113</v>
          </cell>
          <cell r="I208">
            <v>2.8905756563744105</v>
          </cell>
          <cell r="O208">
            <v>8500.5009557392113</v>
          </cell>
          <cell r="P208">
            <v>38880.420037585565</v>
          </cell>
        </row>
        <row r="209">
          <cell r="F209">
            <v>116.76512301839577</v>
          </cell>
          <cell r="I209">
            <v>3.9860335215461E-2</v>
          </cell>
          <cell r="O209">
            <v>116.76512301839577</v>
          </cell>
          <cell r="P209">
            <v>534.07170381298852</v>
          </cell>
        </row>
        <row r="210">
          <cell r="F210">
            <v>233.53024603679154</v>
          </cell>
          <cell r="I210">
            <v>7.9134186443665572E-2</v>
          </cell>
          <cell r="O210">
            <v>233.53024603679154</v>
          </cell>
          <cell r="P210">
            <v>1068.143407625977</v>
          </cell>
        </row>
        <row r="213">
          <cell r="F213">
            <v>7.1639099510883026</v>
          </cell>
          <cell r="I213">
            <v>6.3818901555875085E-3</v>
          </cell>
          <cell r="O213">
            <v>0.32174582712797967</v>
          </cell>
          <cell r="P213">
            <v>0.32174582712797967</v>
          </cell>
        </row>
        <row r="214">
          <cell r="F214">
            <v>934.12098414716615</v>
          </cell>
          <cell r="I214">
            <v>0.43157284636732673</v>
          </cell>
          <cell r="O214">
            <v>934.12098414716615</v>
          </cell>
          <cell r="P214">
            <v>4272.5736305039081</v>
          </cell>
        </row>
        <row r="215">
          <cell r="F215">
            <v>9.2117861140482713</v>
          </cell>
          <cell r="I215">
            <v>6.9649118417572644E-3</v>
          </cell>
          <cell r="O215">
            <v>8.8052002061220556</v>
          </cell>
          <cell r="P215">
            <v>17.948293812673739</v>
          </cell>
        </row>
        <row r="216">
          <cell r="F216">
            <v>38.545680415379913</v>
          </cell>
          <cell r="I216">
            <v>0.11486295712545876</v>
          </cell>
          <cell r="O216">
            <v>0.66752818193731145</v>
          </cell>
          <cell r="P216">
            <v>0.66752818193731145</v>
          </cell>
        </row>
        <row r="218">
          <cell r="F218">
            <v>210177.22143311237</v>
          </cell>
          <cell r="I218">
            <v>60.372940850855791</v>
          </cell>
          <cell r="O218">
            <v>210177.22143311237</v>
          </cell>
          <cell r="P218">
            <v>961329.06686337932</v>
          </cell>
        </row>
        <row r="219">
          <cell r="F219">
            <v>46706.049207358308</v>
          </cell>
          <cell r="I219">
            <v>12.919465629115795</v>
          </cell>
          <cell r="O219">
            <v>46706.049207358308</v>
          </cell>
          <cell r="P219">
            <v>213628.6815251954</v>
          </cell>
        </row>
        <row r="222">
          <cell r="F222">
            <v>65.486023897816395</v>
          </cell>
          <cell r="I222">
            <v>0.10884036196303516</v>
          </cell>
          <cell r="O222">
            <v>15.935933663008324</v>
          </cell>
          <cell r="P222">
            <v>71.475550217756549</v>
          </cell>
        </row>
        <row r="223">
          <cell r="F223">
            <v>1000000</v>
          </cell>
          <cell r="I223">
            <v>1000000</v>
          </cell>
          <cell r="O223">
            <v>1000000</v>
          </cell>
          <cell r="P223">
            <v>1000000</v>
          </cell>
        </row>
        <row r="224">
          <cell r="F224">
            <v>1000000</v>
          </cell>
          <cell r="I224">
            <v>390</v>
          </cell>
          <cell r="O224">
            <v>1000000</v>
          </cell>
          <cell r="P224">
            <v>1000000</v>
          </cell>
        </row>
        <row r="225">
          <cell r="F225">
            <v>1000000</v>
          </cell>
          <cell r="I225">
            <v>694</v>
          </cell>
          <cell r="O225">
            <v>1000000</v>
          </cell>
          <cell r="P225">
            <v>1000000</v>
          </cell>
        </row>
        <row r="226">
          <cell r="F226">
            <v>77018.649469428274</v>
          </cell>
          <cell r="I226">
            <v>6.9405917310745977</v>
          </cell>
          <cell r="O226">
            <v>76997.08905023626</v>
          </cell>
          <cell r="P226">
            <v>350187.07193839754</v>
          </cell>
        </row>
        <row r="229">
          <cell r="F229">
            <v>7005.9073811037451</v>
          </cell>
          <cell r="I229">
            <v>36.142788967575534</v>
          </cell>
          <cell r="O229">
            <v>7005.9073811037451</v>
          </cell>
          <cell r="P229">
            <v>32044.30222877931</v>
          </cell>
        </row>
        <row r="230">
          <cell r="F230">
            <v>840.7088857324494</v>
          </cell>
          <cell r="I230">
            <v>1.4861484011196651</v>
          </cell>
          <cell r="O230">
            <v>840.7088857324494</v>
          </cell>
          <cell r="P230">
            <v>3845.316267453517</v>
          </cell>
        </row>
        <row r="231">
          <cell r="F231">
            <v>467.06049207358308</v>
          </cell>
          <cell r="I231">
            <v>302.82846298938591</v>
          </cell>
          <cell r="O231">
            <v>467.06049207358308</v>
          </cell>
          <cell r="P231">
            <v>2136.2868152519541</v>
          </cell>
        </row>
        <row r="232">
          <cell r="F232">
            <v>467.06049207358308</v>
          </cell>
          <cell r="I232">
            <v>302.82846298938591</v>
          </cell>
          <cell r="O232">
            <v>467.06049207358308</v>
          </cell>
          <cell r="P232">
            <v>2136.2868152519541</v>
          </cell>
        </row>
        <row r="233">
          <cell r="F233">
            <v>934.12098414716615</v>
          </cell>
          <cell r="I233">
            <v>605.65692597877182</v>
          </cell>
          <cell r="O233">
            <v>934.12098414716615</v>
          </cell>
          <cell r="P233">
            <v>4272.5736305039081</v>
          </cell>
        </row>
        <row r="234">
          <cell r="F234">
            <v>934.12098414716615</v>
          </cell>
          <cell r="I234">
            <v>605.65692597877182</v>
          </cell>
          <cell r="O234">
            <v>934.12098414716615</v>
          </cell>
          <cell r="P234">
            <v>4272.5736305039081</v>
          </cell>
        </row>
        <row r="235">
          <cell r="F235">
            <v>23353.024603679154</v>
          </cell>
          <cell r="I235">
            <v>15141.423149469296</v>
          </cell>
          <cell r="O235">
            <v>23353.024603679154</v>
          </cell>
          <cell r="P235">
            <v>106814.3407625977</v>
          </cell>
        </row>
        <row r="236">
          <cell r="F236">
            <v>70059.073811037451</v>
          </cell>
          <cell r="I236">
            <v>57.157189216235849</v>
          </cell>
          <cell r="O236">
            <v>70059.073811037451</v>
          </cell>
          <cell r="P236">
            <v>320443.02228779305</v>
          </cell>
        </row>
        <row r="237">
          <cell r="F237">
            <v>11676.512301839577</v>
          </cell>
          <cell r="I237">
            <v>2.0556675805625511</v>
          </cell>
          <cell r="O237">
            <v>11676.512301839577</v>
          </cell>
          <cell r="P237">
            <v>53407.170381298849</v>
          </cell>
        </row>
        <row r="238">
          <cell r="F238">
            <v>467.06049207358308</v>
          </cell>
          <cell r="I238">
            <v>9.2135659169585424E-2</v>
          </cell>
          <cell r="O238">
            <v>467.06049207358308</v>
          </cell>
          <cell r="P238">
            <v>2136.2868152519541</v>
          </cell>
        </row>
        <row r="239">
          <cell r="F239">
            <v>1167.6512301839575</v>
          </cell>
          <cell r="I239">
            <v>2.6159931213813077</v>
          </cell>
          <cell r="O239">
            <v>1167.6512301839575</v>
          </cell>
          <cell r="P239">
            <v>5340.7170381298856</v>
          </cell>
        </row>
        <row r="240">
          <cell r="F240">
            <v>233.53024603679154</v>
          </cell>
          <cell r="I240">
            <v>2.4061522130449368E-2</v>
          </cell>
          <cell r="O240">
            <v>233.53024603679154</v>
          </cell>
          <cell r="P240">
            <v>1068.143407625977</v>
          </cell>
        </row>
        <row r="252">
          <cell r="F252">
            <v>107012.7638395111</v>
          </cell>
          <cell r="I252">
            <v>1298.6077398526363</v>
          </cell>
          <cell r="O252">
            <v>5490.3710439576207</v>
          </cell>
          <cell r="P252">
            <v>5490.3710439576207</v>
          </cell>
        </row>
      </sheetData>
      <sheetData sheetId="2" refreshError="1">
        <row r="3">
          <cell r="R3">
            <v>200</v>
          </cell>
        </row>
        <row r="4">
          <cell r="R4">
            <v>5</v>
          </cell>
        </row>
        <row r="5">
          <cell r="R5">
            <v>700</v>
          </cell>
        </row>
        <row r="6">
          <cell r="R6">
            <v>4</v>
          </cell>
        </row>
        <row r="7">
          <cell r="R7">
            <v>100</v>
          </cell>
        </row>
        <row r="8">
          <cell r="R8">
            <v>12000</v>
          </cell>
        </row>
        <row r="9">
          <cell r="R9">
            <v>400</v>
          </cell>
        </row>
        <row r="10">
          <cell r="R10">
            <v>300</v>
          </cell>
        </row>
        <row r="11">
          <cell r="R11">
            <v>10</v>
          </cell>
        </row>
        <row r="12">
          <cell r="R12">
            <v>18000</v>
          </cell>
        </row>
        <row r="13">
          <cell r="R13">
            <v>50</v>
          </cell>
        </row>
        <row r="14">
          <cell r="R14">
            <v>330</v>
          </cell>
        </row>
        <row r="15">
          <cell r="R15">
            <v>0.1</v>
          </cell>
        </row>
        <row r="16">
          <cell r="R16">
            <v>300</v>
          </cell>
        </row>
        <row r="17">
          <cell r="R17">
            <v>1000</v>
          </cell>
        </row>
        <row r="18">
          <cell r="R18">
            <v>1000</v>
          </cell>
        </row>
        <row r="19">
          <cell r="R19">
            <v>300</v>
          </cell>
        </row>
        <row r="20">
          <cell r="R20">
            <v>7</v>
          </cell>
        </row>
        <row r="21">
          <cell r="R21">
            <v>1.2</v>
          </cell>
        </row>
        <row r="24">
          <cell r="R24">
            <v>1.7</v>
          </cell>
        </row>
        <row r="25">
          <cell r="R25">
            <v>2.4</v>
          </cell>
        </row>
        <row r="26">
          <cell r="R26">
            <v>1</v>
          </cell>
        </row>
        <row r="27">
          <cell r="R27">
            <v>930</v>
          </cell>
        </row>
        <row r="28">
          <cell r="R28">
            <v>930</v>
          </cell>
        </row>
        <row r="29">
          <cell r="R29">
            <v>1900</v>
          </cell>
        </row>
        <row r="31">
          <cell r="R31">
            <v>360</v>
          </cell>
        </row>
        <row r="32">
          <cell r="R32" t="str">
            <v>NA</v>
          </cell>
        </row>
        <row r="33">
          <cell r="R33">
            <v>11</v>
          </cell>
        </row>
        <row r="34">
          <cell r="R34">
            <v>18</v>
          </cell>
        </row>
        <row r="35">
          <cell r="R35">
            <v>15</v>
          </cell>
        </row>
        <row r="38">
          <cell r="R38">
            <v>9</v>
          </cell>
        </row>
        <row r="44">
          <cell r="R44">
            <v>300</v>
          </cell>
        </row>
        <row r="45">
          <cell r="R45">
            <v>200</v>
          </cell>
        </row>
        <row r="48">
          <cell r="R48">
            <v>90</v>
          </cell>
        </row>
        <row r="50">
          <cell r="R50">
            <v>21000</v>
          </cell>
        </row>
        <row r="51">
          <cell r="R51">
            <v>450</v>
          </cell>
        </row>
        <row r="52">
          <cell r="R52">
            <v>210.00000000000003</v>
          </cell>
        </row>
        <row r="53">
          <cell r="R53">
            <v>12</v>
          </cell>
        </row>
        <row r="54">
          <cell r="R54">
            <v>10</v>
          </cell>
        </row>
        <row r="55">
          <cell r="R55">
            <v>100</v>
          </cell>
        </row>
        <row r="56">
          <cell r="R56">
            <v>100</v>
          </cell>
        </row>
        <row r="57">
          <cell r="R57">
            <v>8</v>
          </cell>
        </row>
        <row r="58">
          <cell r="R58" t="str">
            <v>NA</v>
          </cell>
        </row>
        <row r="59">
          <cell r="R59">
            <v>0.83</v>
          </cell>
        </row>
        <row r="60">
          <cell r="R60">
            <v>60</v>
          </cell>
        </row>
        <row r="61">
          <cell r="R61">
            <v>94</v>
          </cell>
        </row>
        <row r="62">
          <cell r="R62">
            <v>1000</v>
          </cell>
        </row>
        <row r="63">
          <cell r="R63">
            <v>3600</v>
          </cell>
        </row>
        <row r="64">
          <cell r="R64">
            <v>300</v>
          </cell>
        </row>
        <row r="65">
          <cell r="R65">
            <v>140</v>
          </cell>
        </row>
        <row r="66">
          <cell r="R66">
            <v>62</v>
          </cell>
        </row>
        <row r="67">
          <cell r="R67">
            <v>30</v>
          </cell>
        </row>
        <row r="68">
          <cell r="R68">
            <v>2600</v>
          </cell>
        </row>
        <row r="69">
          <cell r="R69">
            <v>2.6</v>
          </cell>
        </row>
        <row r="70">
          <cell r="R70">
            <v>61</v>
          </cell>
        </row>
        <row r="72">
          <cell r="R72">
            <v>500</v>
          </cell>
        </row>
        <row r="74">
          <cell r="R74">
            <v>1500</v>
          </cell>
        </row>
        <row r="76">
          <cell r="R76">
            <v>150000</v>
          </cell>
        </row>
        <row r="78">
          <cell r="R78">
            <v>250000</v>
          </cell>
        </row>
        <row r="80">
          <cell r="R80">
            <v>50000</v>
          </cell>
        </row>
        <row r="81">
          <cell r="R81">
            <v>100</v>
          </cell>
        </row>
        <row r="82">
          <cell r="R82">
            <v>410</v>
          </cell>
        </row>
        <row r="83">
          <cell r="R83">
            <v>20000</v>
          </cell>
        </row>
        <row r="84">
          <cell r="R84">
            <v>5600</v>
          </cell>
        </row>
        <row r="85">
          <cell r="R85">
            <v>14000</v>
          </cell>
        </row>
        <row r="87">
          <cell r="R87">
            <v>2.5</v>
          </cell>
        </row>
        <row r="88">
          <cell r="R88">
            <v>300</v>
          </cell>
        </row>
        <row r="89">
          <cell r="R89">
            <v>310</v>
          </cell>
        </row>
        <row r="90">
          <cell r="R90">
            <v>590</v>
          </cell>
        </row>
        <row r="91">
          <cell r="R91">
            <v>130</v>
          </cell>
        </row>
        <row r="92">
          <cell r="R92">
            <v>39</v>
          </cell>
        </row>
        <row r="93">
          <cell r="R93">
            <v>39</v>
          </cell>
        </row>
        <row r="94">
          <cell r="R94">
            <v>2</v>
          </cell>
        </row>
        <row r="95">
          <cell r="R95">
            <v>19</v>
          </cell>
        </row>
        <row r="96">
          <cell r="R96">
            <v>7.5999999999999998E-2</v>
          </cell>
        </row>
        <row r="97">
          <cell r="R97">
            <v>2000</v>
          </cell>
        </row>
        <row r="98">
          <cell r="R98">
            <v>150</v>
          </cell>
        </row>
        <row r="99">
          <cell r="R99">
            <v>150</v>
          </cell>
        </row>
        <row r="100">
          <cell r="R100">
            <v>260</v>
          </cell>
        </row>
        <row r="101">
          <cell r="R101">
            <v>260</v>
          </cell>
        </row>
        <row r="102">
          <cell r="R102" t="str">
            <v>NA</v>
          </cell>
        </row>
        <row r="103">
          <cell r="R103" t="str">
            <v>NA</v>
          </cell>
        </row>
        <row r="104">
          <cell r="R104" t="str">
            <v>NA</v>
          </cell>
        </row>
        <row r="106">
          <cell r="R106">
            <v>260</v>
          </cell>
        </row>
        <row r="107">
          <cell r="R107">
            <v>1000</v>
          </cell>
        </row>
        <row r="108">
          <cell r="R108">
            <v>16</v>
          </cell>
        </row>
        <row r="109">
          <cell r="R109">
            <v>15000</v>
          </cell>
        </row>
        <row r="110">
          <cell r="R110">
            <v>900</v>
          </cell>
        </row>
        <row r="111">
          <cell r="R111">
            <v>0.1</v>
          </cell>
        </row>
        <row r="112">
          <cell r="R112">
            <v>7.9</v>
          </cell>
        </row>
        <row r="113">
          <cell r="R113">
            <v>160</v>
          </cell>
        </row>
        <row r="114">
          <cell r="R114">
            <v>5.0000000000000001E-3</v>
          </cell>
        </row>
        <row r="115">
          <cell r="R115">
            <v>250</v>
          </cell>
        </row>
        <row r="116">
          <cell r="R116">
            <v>0.1</v>
          </cell>
        </row>
        <row r="117">
          <cell r="R117">
            <v>190</v>
          </cell>
        </row>
        <row r="118">
          <cell r="R118" t="str">
            <v>NA</v>
          </cell>
        </row>
        <row r="119">
          <cell r="R119">
            <v>0.27</v>
          </cell>
        </row>
        <row r="120">
          <cell r="R120">
            <v>0.6</v>
          </cell>
        </row>
        <row r="121">
          <cell r="R121">
            <v>65</v>
          </cell>
        </row>
        <row r="122">
          <cell r="R122">
            <v>18</v>
          </cell>
        </row>
        <row r="123">
          <cell r="R123" t="str">
            <v>NA</v>
          </cell>
        </row>
        <row r="124">
          <cell r="R124">
            <v>780</v>
          </cell>
        </row>
        <row r="125">
          <cell r="R125" t="str">
            <v>NA</v>
          </cell>
        </row>
        <row r="126">
          <cell r="R126" t="str">
            <v>NA</v>
          </cell>
        </row>
        <row r="127">
          <cell r="R127" t="str">
            <v>NA</v>
          </cell>
        </row>
        <row r="128">
          <cell r="R128" t="str">
            <v>3.10-5</v>
          </cell>
        </row>
        <row r="130">
          <cell r="R130">
            <v>0.02</v>
          </cell>
        </row>
        <row r="132">
          <cell r="R132">
            <v>1400</v>
          </cell>
        </row>
        <row r="136">
          <cell r="R136">
            <v>40</v>
          </cell>
        </row>
        <row r="137">
          <cell r="R137">
            <v>0.03</v>
          </cell>
        </row>
        <row r="138">
          <cell r="R138" t="str">
            <v>NA</v>
          </cell>
        </row>
        <row r="139">
          <cell r="R139">
            <v>0.03</v>
          </cell>
        </row>
        <row r="140">
          <cell r="R140" t="str">
            <v>NA</v>
          </cell>
        </row>
        <row r="141">
          <cell r="R141" t="str">
            <v>NA</v>
          </cell>
        </row>
        <row r="143">
          <cell r="R143" t="str">
            <v>NA</v>
          </cell>
        </row>
        <row r="144">
          <cell r="R144" t="str">
            <v>NA</v>
          </cell>
        </row>
        <row r="145">
          <cell r="R145" t="str">
            <v>NA</v>
          </cell>
        </row>
        <row r="146">
          <cell r="R146" t="str">
            <v>NA</v>
          </cell>
        </row>
        <row r="147">
          <cell r="R147" t="str">
            <v>NA</v>
          </cell>
        </row>
        <row r="148">
          <cell r="R148" t="str">
            <v>NA</v>
          </cell>
        </row>
        <row r="149">
          <cell r="R149">
            <v>2</v>
          </cell>
        </row>
        <row r="150">
          <cell r="R150">
            <v>1500</v>
          </cell>
        </row>
        <row r="151">
          <cell r="R151" t="str">
            <v>NA</v>
          </cell>
        </row>
        <row r="154">
          <cell r="R154" t="str">
            <v>NA</v>
          </cell>
        </row>
        <row r="155">
          <cell r="R155" t="str">
            <v>NA</v>
          </cell>
        </row>
        <row r="156">
          <cell r="R156">
            <v>40</v>
          </cell>
        </row>
        <row r="203">
          <cell r="R203">
            <v>180</v>
          </cell>
        </row>
        <row r="204">
          <cell r="R204">
            <v>0.24</v>
          </cell>
        </row>
        <row r="205">
          <cell r="R205">
            <v>4.9000000000000002E-2</v>
          </cell>
        </row>
        <row r="207">
          <cell r="R207">
            <v>7.5</v>
          </cell>
        </row>
        <row r="208">
          <cell r="R208">
            <v>60000000</v>
          </cell>
        </row>
        <row r="209">
          <cell r="R209">
            <v>140</v>
          </cell>
        </row>
        <row r="210">
          <cell r="R210">
            <v>1200.0000000000002</v>
          </cell>
        </row>
        <row r="211">
          <cell r="R211">
            <v>0.1</v>
          </cell>
        </row>
        <row r="212">
          <cell r="R212">
            <v>50</v>
          </cell>
        </row>
        <row r="213">
          <cell r="R213">
            <v>9</v>
          </cell>
        </row>
        <row r="214">
          <cell r="R214">
            <v>49800</v>
          </cell>
        </row>
        <row r="215">
          <cell r="R215">
            <v>49800</v>
          </cell>
        </row>
        <row r="216">
          <cell r="R216">
            <v>49800</v>
          </cell>
        </row>
        <row r="217">
          <cell r="R217">
            <v>1980</v>
          </cell>
        </row>
        <row r="218">
          <cell r="R218">
            <v>190</v>
          </cell>
        </row>
        <row r="220">
          <cell r="R220">
            <v>180</v>
          </cell>
        </row>
        <row r="243">
          <cell r="R243">
            <v>40000</v>
          </cell>
        </row>
      </sheetData>
      <sheetData sheetId="3"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6" Type="http://schemas.openxmlformats.org/officeDocument/2006/relationships/hyperlink" Target="http://www.nbn.be/fr/catalogue/standard/nbn-en-15192" TargetMode="External"/><Relationship Id="rId21" Type="http://schemas.openxmlformats.org/officeDocument/2006/relationships/hyperlink" Target="http://www.nbn.be/fr/catalogue/standard/nbn-en-16174?fulltext=16174" TargetMode="External"/><Relationship Id="rId42" Type="http://schemas.openxmlformats.org/officeDocument/2006/relationships/hyperlink" Target="http://www.nbn.be/fr/catalogue/standard/nbn-en-12457-2" TargetMode="External"/><Relationship Id="rId47" Type="http://schemas.openxmlformats.org/officeDocument/2006/relationships/hyperlink" Target="http://www.issep.be/wp-content/uploads/CWEA-S-II-6.1v3.pdf" TargetMode="External"/><Relationship Id="rId63" Type="http://schemas.openxmlformats.org/officeDocument/2006/relationships/hyperlink" Target="https://www.nbn.be/fr/catalogue/standard/nbn-en-iso-18857-2?page=52&amp;fulltext=directive&amp;f%5b0%5d=field_release_date%3A%5B2012-01-01T00%3A00%3A00Z%20TO%202013-01-01T00%3A00%3A00Z%5D" TargetMode="External"/><Relationship Id="rId68" Type="http://schemas.openxmlformats.org/officeDocument/2006/relationships/hyperlink" Target="https://www.nbn.be/en/catalogue/standard/nbn-en-iso-18856?fulltext=18856" TargetMode="External"/><Relationship Id="rId84" Type="http://schemas.openxmlformats.org/officeDocument/2006/relationships/hyperlink" Target="http://www.issep.be/wp-content/uploads/E-III-1-1v2_volatils_eau.pdf" TargetMode="External"/><Relationship Id="rId89" Type="http://schemas.openxmlformats.org/officeDocument/2006/relationships/hyperlink" Target="http://www.issep.be/wp-content/uploads/CWEA-E-II-2.1v1.pdf" TargetMode="External"/><Relationship Id="rId112" Type="http://schemas.openxmlformats.org/officeDocument/2006/relationships/hyperlink" Target="http://www.issep.be/wp-content/uploads/E-II-7V1-NO3_NO2.pdf" TargetMode="External"/><Relationship Id="rId2" Type="http://schemas.openxmlformats.org/officeDocument/2006/relationships/hyperlink" Target="http://www.iso.org/iso/fr/home/store/catalogue_tc/catalogue_detail.htm?csnumber=40653" TargetMode="External"/><Relationship Id="rId16" Type="http://schemas.openxmlformats.org/officeDocument/2006/relationships/hyperlink" Target="http://www.issep.be/wp-content/uploads/1-S-II-1v2-Extraction-des-ETM-solubles-dans-lER.pdf" TargetMode="External"/><Relationship Id="rId29" Type="http://schemas.openxmlformats.org/officeDocument/2006/relationships/hyperlink" Target="https://www.epa.gov/sites/production/files/2015-07/documents/epa-8315a.pdf" TargetMode="External"/><Relationship Id="rId107" Type="http://schemas.openxmlformats.org/officeDocument/2006/relationships/hyperlink" Target="http://www.ceaeq.gouv.qc.ca/methodes/pdf/MA400COSV10.pdf" TargetMode="External"/><Relationship Id="rId11" Type="http://schemas.openxmlformats.org/officeDocument/2006/relationships/hyperlink" Target="http://www.nbn.be/fr/catalogue/standard/cents-16183?fulltext=16183" TargetMode="External"/><Relationship Id="rId24" Type="http://schemas.openxmlformats.org/officeDocument/2006/relationships/hyperlink" Target="http://www.iso.org/iso/fr/home/store/catalogue_tc/catalogue_detail.htm?csnumber=54337" TargetMode="External"/><Relationship Id="rId32" Type="http://schemas.openxmlformats.org/officeDocument/2006/relationships/hyperlink" Target="http://www.nbn.be/fr/catalogue/standard/nbn-en-16171?fulltext=16171&amp;search_title_only=1" TargetMode="External"/><Relationship Id="rId37" Type="http://schemas.openxmlformats.org/officeDocument/2006/relationships/hyperlink" Target="http://www.iso.org/iso/fr/home/store/catalogue_tc/catalogue_detail.htm?csnumber=53737" TargetMode="External"/><Relationship Id="rId40" Type="http://schemas.openxmlformats.org/officeDocument/2006/relationships/hyperlink" Target="http://www.iso.org/iso/fr/catalogue_detail.htm?csnumber=40879" TargetMode="External"/><Relationship Id="rId45" Type="http://schemas.openxmlformats.org/officeDocument/2006/relationships/hyperlink" Target="http://www.issep.be/wp-content/uploads/S-II-5.2v3-Dosage-des-cyanures-totaux-et-libres-M%C3%A9thodes-danalyse-en-flux-continu-2.pdf" TargetMode="External"/><Relationship Id="rId53" Type="http://schemas.openxmlformats.org/officeDocument/2006/relationships/hyperlink" Target="https://www.epa.gov/sites/production/files/2015-12/documents/8260c.pdf" TargetMode="External"/><Relationship Id="rId58" Type="http://schemas.openxmlformats.org/officeDocument/2006/relationships/hyperlink" Target="http://www.ceaeq.gouv.qc.ca/methodes/pdf/MA400COSV10.pdf" TargetMode="External"/><Relationship Id="rId66" Type="http://schemas.openxmlformats.org/officeDocument/2006/relationships/hyperlink" Target="https://www.iso.org/fr/standard/31687.html" TargetMode="External"/><Relationship Id="rId74" Type="http://schemas.openxmlformats.org/officeDocument/2006/relationships/hyperlink" Target="https://www.nbn.be/fr/catalogue/standard/nbn-en-iso-17294-1?fulltext=17294" TargetMode="External"/><Relationship Id="rId79" Type="http://schemas.openxmlformats.org/officeDocument/2006/relationships/hyperlink" Target="https://www.nbn.be/fr/catalogue/standard/nbn-en-iso-15587-2" TargetMode="External"/><Relationship Id="rId87" Type="http://schemas.openxmlformats.org/officeDocument/2006/relationships/hyperlink" Target="http://www.issep.be/wp-content/uploads/E-II-1.1v1-ETM-AAS.pdf" TargetMode="External"/><Relationship Id="rId102" Type="http://schemas.openxmlformats.org/officeDocument/2006/relationships/hyperlink" Target="https://www.epa.gov/sites/production/files/2015-07/documents/epa-8260c.pdf" TargetMode="External"/><Relationship Id="rId110" Type="http://schemas.openxmlformats.org/officeDocument/2006/relationships/hyperlink" Target="http://www.nbn.be/fr/catalogue/standard/nbn-en-16174?fulltext=16174" TargetMode="External"/><Relationship Id="rId5" Type="http://schemas.openxmlformats.org/officeDocument/2006/relationships/hyperlink" Target="http://www.issep.be/wp-content/uploads/S-III-1-1v3_volatils_sols.pdf" TargetMode="External"/><Relationship Id="rId61" Type="http://schemas.openxmlformats.org/officeDocument/2006/relationships/hyperlink" Target="https://www.nbn.be/fr/catalogue/standard/nbn-en-iso-18857-1?fulltext=18857" TargetMode="External"/><Relationship Id="rId82" Type="http://schemas.openxmlformats.org/officeDocument/2006/relationships/hyperlink" Target="https://www.nbn.be/fr/catalogue/standard/nbn-en-12673?fulltext=12673" TargetMode="External"/><Relationship Id="rId90" Type="http://schemas.openxmlformats.org/officeDocument/2006/relationships/hyperlink" Target="http://www.issep.be/wp-content/uploads/E-II-2.2v2-Dosage_mercure-par-AFS.pdf" TargetMode="External"/><Relationship Id="rId95" Type="http://schemas.openxmlformats.org/officeDocument/2006/relationships/hyperlink" Target="https://www.iso.org/fr/standard/36255.html" TargetMode="External"/><Relationship Id="rId19" Type="http://schemas.openxmlformats.org/officeDocument/2006/relationships/hyperlink" Target="http://www.nbn.be/fr/catalogue/standard/cents-16190?fulltext=16190" TargetMode="External"/><Relationship Id="rId14" Type="http://schemas.openxmlformats.org/officeDocument/2006/relationships/hyperlink" Target="http://www.iso.org/iso/home/store/catalogue_tc/catalogue_detail.htm?csnumber=32401" TargetMode="External"/><Relationship Id="rId22" Type="http://schemas.openxmlformats.org/officeDocument/2006/relationships/hyperlink" Target="http://www.nbn.be/fr/catalogue/standard/nbn-en-16167?fulltext=16167" TargetMode="External"/><Relationship Id="rId27" Type="http://schemas.openxmlformats.org/officeDocument/2006/relationships/hyperlink" Target="http://www.iso.org/iso/fr/catalogue_detail.htm?csnumber=32422" TargetMode="External"/><Relationship Id="rId30" Type="http://schemas.openxmlformats.org/officeDocument/2006/relationships/hyperlink" Target="http://www.nbn.be/fr/catalogue/standard/nbn-en-16175-2?fulltext=biod%C3%A9chets" TargetMode="External"/><Relationship Id="rId35" Type="http://schemas.openxmlformats.org/officeDocument/2006/relationships/hyperlink" Target="http://www.iso.org/iso/fr/home/store/catalogue_tc/catalogue_detail.htm?csnumber=51022" TargetMode="External"/><Relationship Id="rId43" Type="http://schemas.openxmlformats.org/officeDocument/2006/relationships/hyperlink" Target="http://www.nbn.be/fr/catalogue/standard/nbn-en-16170?fulltext=16170&amp;search_title_only=1" TargetMode="External"/><Relationship Id="rId48" Type="http://schemas.openxmlformats.org/officeDocument/2006/relationships/hyperlink" Target="http://www.issep.be/wp-content/uploads/5-S-I-4V1-Essai-de-lixiviation-de-sols-et-d%C3%A9chets-fragment%C3%A9s-de-s%C3%A9diments-et-de-boues.pdf" TargetMode="External"/><Relationship Id="rId56" Type="http://schemas.openxmlformats.org/officeDocument/2006/relationships/hyperlink" Target="https://www.epa.gov/sites/production/files/2015-12/documents/5032.pdf" TargetMode="External"/><Relationship Id="rId64" Type="http://schemas.openxmlformats.org/officeDocument/2006/relationships/hyperlink" Target="https://www.iso.org/fr/standard/44775.html" TargetMode="External"/><Relationship Id="rId69" Type="http://schemas.openxmlformats.org/officeDocument/2006/relationships/hyperlink" Target="https://www.nbn.be/fr/catalogue/standard/nbn-en-iso-12846?fulltext=12846" TargetMode="External"/><Relationship Id="rId77" Type="http://schemas.openxmlformats.org/officeDocument/2006/relationships/hyperlink" Target="https://www.nbn.be/fr/catalogue/standard/nbn-en-iso-15587-1" TargetMode="External"/><Relationship Id="rId100" Type="http://schemas.openxmlformats.org/officeDocument/2006/relationships/hyperlink" Target="https://www.iso.org/standard/18783.html" TargetMode="External"/><Relationship Id="rId105" Type="http://schemas.openxmlformats.org/officeDocument/2006/relationships/hyperlink" Target="https://www.nbn.be/fr/catalogue/standard/nbn-en-iso-11369?fulltext=11369" TargetMode="External"/><Relationship Id="rId113" Type="http://schemas.openxmlformats.org/officeDocument/2006/relationships/printerSettings" Target="../printerSettings/printerSettings5.bin"/><Relationship Id="rId8" Type="http://schemas.openxmlformats.org/officeDocument/2006/relationships/hyperlink" Target="http://www.issep.be/wp-content/uploads/2-S-II-2.1v1-Dosage-des-ETM-dans-les-extraits-%C3%A0-leau-r%C3%A9gale-par-AAS-GF.pdf" TargetMode="External"/><Relationship Id="rId51" Type="http://schemas.openxmlformats.org/officeDocument/2006/relationships/hyperlink" Target="https://www.epa.gov/sites/production/files/2015-12/documents/8260c.pdf" TargetMode="External"/><Relationship Id="rId72" Type="http://schemas.openxmlformats.org/officeDocument/2006/relationships/hyperlink" Target="https://www.nbn.be/fr/catalogue/standard/nbn-en-iso-15586?fulltext=15586" TargetMode="External"/><Relationship Id="rId80" Type="http://schemas.openxmlformats.org/officeDocument/2006/relationships/hyperlink" Target="https://www.nbn.be/fr/catalogue/standard/nbn-en-iso-15587-2" TargetMode="External"/><Relationship Id="rId85" Type="http://schemas.openxmlformats.org/officeDocument/2006/relationships/hyperlink" Target="http://www.issep.be/wp-content/uploads/E-III-1-2v1_volatils_eau.pdf" TargetMode="External"/><Relationship Id="rId93" Type="http://schemas.openxmlformats.org/officeDocument/2006/relationships/hyperlink" Target="https://www.iso.org/fr/standard/55559.html" TargetMode="External"/><Relationship Id="rId98" Type="http://schemas.openxmlformats.org/officeDocument/2006/relationships/hyperlink" Target="http://www.iso.org/iso/fr/catalogue_detail.htm?csnumber=40879" TargetMode="External"/><Relationship Id="rId3" Type="http://schemas.openxmlformats.org/officeDocument/2006/relationships/hyperlink" Target="http://www.iso.org/iso/fr/home/store/catalogue_tc/catalogue_detail.htm?csnumber=24010" TargetMode="External"/><Relationship Id="rId12" Type="http://schemas.openxmlformats.org/officeDocument/2006/relationships/hyperlink" Target="http://www.issep.be/wp-content/uploads/CWEA-S-II-3v1.pdf" TargetMode="External"/><Relationship Id="rId17" Type="http://schemas.openxmlformats.org/officeDocument/2006/relationships/hyperlink" Target="http://www.issep.be/wp-content/uploads/1-S-II-1v2-Extraction-des-ETM-solubles-dans-lER.pdf" TargetMode="External"/><Relationship Id="rId25" Type="http://schemas.openxmlformats.org/officeDocument/2006/relationships/hyperlink" Target="http://www.iso.org/iso/fr/home/store/catalogue_tc/catalogue_detail.htm?csnumber=33387" TargetMode="External"/><Relationship Id="rId33" Type="http://schemas.openxmlformats.org/officeDocument/2006/relationships/hyperlink" Target="http://www.iso.org/iso/fr/home/store/catalogue_tc/catalogue_detail.htm?csnumber=36706" TargetMode="External"/><Relationship Id="rId38" Type="http://schemas.openxmlformats.org/officeDocument/2006/relationships/hyperlink" Target="http://www.nbn.be/fr/catalogue/standard/nbn-en-iso-17380?fulltext=17380&amp;search_title_only=1" TargetMode="External"/><Relationship Id="rId46" Type="http://schemas.openxmlformats.org/officeDocument/2006/relationships/hyperlink" Target="http://www.issep.be/wp-content/uploads/S-III-3-2v1_HAP-GC_MS_sol.pdf" TargetMode="External"/><Relationship Id="rId59" Type="http://schemas.openxmlformats.org/officeDocument/2006/relationships/hyperlink" Target="https://www.nbn.be/fr/catalogue/standard/nbn-en-iso-18857-1?fulltext=18857" TargetMode="External"/><Relationship Id="rId67" Type="http://schemas.openxmlformats.org/officeDocument/2006/relationships/hyperlink" Target="https://www.iso.org/standard/68479.html" TargetMode="External"/><Relationship Id="rId103" Type="http://schemas.openxmlformats.org/officeDocument/2006/relationships/hyperlink" Target="https://www.nbn.be/fr/catalogue/standard/nbn-en-14207" TargetMode="External"/><Relationship Id="rId108" Type="http://schemas.openxmlformats.org/officeDocument/2006/relationships/hyperlink" Target="https://www.nbn.be/fr/catalogue/standard/nbn-en-iso-17993?fulltext=17993" TargetMode="External"/><Relationship Id="rId20" Type="http://schemas.openxmlformats.org/officeDocument/2006/relationships/hyperlink" Target="http://www.nbn.be/fr/catalogue/standard/nbn-en-iso-15913?fulltext=herbicides&amp;search_title_only=0" TargetMode="External"/><Relationship Id="rId41" Type="http://schemas.openxmlformats.org/officeDocument/2006/relationships/hyperlink" Target="http://www.nbn.be/fr/catalogue/standard/nbn-en-iso-10304-1-0?fulltext=10304" TargetMode="External"/><Relationship Id="rId54" Type="http://schemas.openxmlformats.org/officeDocument/2006/relationships/hyperlink" Target="https://www.epa.gov/sites/production/files/2015-12/documents/8260b.pdf" TargetMode="External"/><Relationship Id="rId62" Type="http://schemas.openxmlformats.org/officeDocument/2006/relationships/hyperlink" Target="https://www.nbn.be/fr/catalogue/standard/nbn-en-iso-15680?fulltext=15680" TargetMode="External"/><Relationship Id="rId70" Type="http://schemas.openxmlformats.org/officeDocument/2006/relationships/hyperlink" Target="https://www.nbn.be/fr/catalogue/standard/nbn-en-iso-17852?fulltext=17852" TargetMode="External"/><Relationship Id="rId75" Type="http://schemas.openxmlformats.org/officeDocument/2006/relationships/hyperlink" Target="https://www.nbn.be/fr/catalogue/standard/nbn-en-iso-15587-1" TargetMode="External"/><Relationship Id="rId83" Type="http://schemas.openxmlformats.org/officeDocument/2006/relationships/hyperlink" Target="http://www.ceaeq.gouv.qc.ca/methodes/pdf/MA400Phe10.pdf" TargetMode="External"/><Relationship Id="rId88" Type="http://schemas.openxmlformats.org/officeDocument/2006/relationships/hyperlink" Target="http://www.issep.be/wp-content/uploads/E-II-1.2.2v1ETM-ICP-MS.pdf" TargetMode="External"/><Relationship Id="rId91" Type="http://schemas.openxmlformats.org/officeDocument/2006/relationships/hyperlink" Target="http://www.issep.be/wp-content/uploads/E-III-6v1-PCB-dans-les-eaux.pdf" TargetMode="External"/><Relationship Id="rId96" Type="http://schemas.openxmlformats.org/officeDocument/2006/relationships/hyperlink" Target="http://www.nbn.be/fr/catalogue/standard/nbn-en-iso-10304-1-0?fulltext=10304" TargetMode="External"/><Relationship Id="rId111" Type="http://schemas.openxmlformats.org/officeDocument/2006/relationships/hyperlink" Target="http://www.nbn.be/fr/catalogue/standard/nbn-en-16174?fulltext=16174" TargetMode="External"/><Relationship Id="rId1" Type="http://schemas.openxmlformats.org/officeDocument/2006/relationships/hyperlink" Target="http://www.nbn.be/fr/catalogue/standard/nbn-en-iso-15009-0?fulltext=15009" TargetMode="External"/><Relationship Id="rId6" Type="http://schemas.openxmlformats.org/officeDocument/2006/relationships/hyperlink" Target="http://www.issep.be/wp-content/uploads/S-III-1-2v1_volatils_sol.pdf" TargetMode="External"/><Relationship Id="rId15" Type="http://schemas.openxmlformats.org/officeDocument/2006/relationships/hyperlink" Target="http://www.nbn.be/fr/catalogue/standard/nbn-en-16174?fulltext=16174" TargetMode="External"/><Relationship Id="rId23" Type="http://schemas.openxmlformats.org/officeDocument/2006/relationships/hyperlink" Target="http://www.nbn.be/fr/catalogue/standard/nbn-en-iso-22155-0" TargetMode="External"/><Relationship Id="rId28" Type="http://schemas.openxmlformats.org/officeDocument/2006/relationships/hyperlink" Target="http://www.issep.be/wp-content/uploads/1-S-II-1v2-Extraction-des-ETM-solubles-dans-lER.pdf" TargetMode="External"/><Relationship Id="rId36" Type="http://schemas.openxmlformats.org/officeDocument/2006/relationships/hyperlink" Target="http://www.iso.org/iso/fr/home/store/catalogue_tc/catalogue_detail.htm?csnumber=53532" TargetMode="External"/><Relationship Id="rId49" Type="http://schemas.openxmlformats.org/officeDocument/2006/relationships/hyperlink" Target="http://www.iso.org/iso/catalogue_detail.htm?csnumber=18416" TargetMode="External"/><Relationship Id="rId57" Type="http://schemas.openxmlformats.org/officeDocument/2006/relationships/hyperlink" Target="https://www.epa.gov/sites/production/files/2015-12/documents/5031.pdf" TargetMode="External"/><Relationship Id="rId106" Type="http://schemas.openxmlformats.org/officeDocument/2006/relationships/hyperlink" Target="http://www.issep.be/wp-content/uploads/E-II-7V1-NO3_NO2.pdf" TargetMode="External"/><Relationship Id="rId10" Type="http://schemas.openxmlformats.org/officeDocument/2006/relationships/hyperlink" Target="http://www.iso.org/iso/iso_catalogue/catalogue_tc/catalogue_detail.htm?csnumber=59260" TargetMode="External"/><Relationship Id="rId31" Type="http://schemas.openxmlformats.org/officeDocument/2006/relationships/hyperlink" Target="http://www.nbn.be/fr/catalogue/standard/nbn-en-16175-1" TargetMode="External"/><Relationship Id="rId44" Type="http://schemas.openxmlformats.org/officeDocument/2006/relationships/hyperlink" Target="http://www.issep.be/wp-content/uploads/S-II-5.1v3-Dosage-des-cyanures-totaux-et-libres.pdf" TargetMode="External"/><Relationship Id="rId52" Type="http://schemas.openxmlformats.org/officeDocument/2006/relationships/hyperlink" Target="https://www.epa.gov/sites/production/files/2015-12/documents/5021a.pdf" TargetMode="External"/><Relationship Id="rId60" Type="http://schemas.openxmlformats.org/officeDocument/2006/relationships/hyperlink" Target="https://www.nbn.be/fr/catalogue/standard/nbn-en-iso-18857-2?page=52&amp;fulltext=directive&amp;f%5b0%5d=field_release_date%3A%5B2012-01-01T00%3A00%3A00Z%20TO%202013-01-01T00%3A00%3A00Z%5D" TargetMode="External"/><Relationship Id="rId65" Type="http://schemas.openxmlformats.org/officeDocument/2006/relationships/hyperlink" Target="https://www.nbn.be/fr/catalogue/standard/nbn-en-iso-6468?fulltext=6468" TargetMode="External"/><Relationship Id="rId73" Type="http://schemas.openxmlformats.org/officeDocument/2006/relationships/hyperlink" Target="https://www.nbn.be/fr/catalogue/standard/nbn-en-iso-17294-2-0?fulltext=17294" TargetMode="External"/><Relationship Id="rId78" Type="http://schemas.openxmlformats.org/officeDocument/2006/relationships/hyperlink" Target="https://www.nbn.be/fr/catalogue/standard/nbn-en-iso-15587-1" TargetMode="External"/><Relationship Id="rId81" Type="http://schemas.openxmlformats.org/officeDocument/2006/relationships/hyperlink" Target="http://www.nbn.be/fr/catalogue/standard/nbn-en-iso-15913?fulltext=herbicides&amp;search_title_only=0" TargetMode="External"/><Relationship Id="rId86" Type="http://schemas.openxmlformats.org/officeDocument/2006/relationships/hyperlink" Target="http://www.issep.be/wp-content/uploads/E-II-1.2.1v1ETM-ICP-OES.pdf" TargetMode="External"/><Relationship Id="rId94" Type="http://schemas.openxmlformats.org/officeDocument/2006/relationships/hyperlink" Target="https://www.epa.gov/sites/production/files/2015-07/documents/epa-8315a.pdf" TargetMode="External"/><Relationship Id="rId99" Type="http://schemas.openxmlformats.org/officeDocument/2006/relationships/hyperlink" Target="https://cfpub.epa.gov/si/si_public_record_report.cfm?dirEntryId=199229" TargetMode="External"/><Relationship Id="rId101" Type="http://schemas.openxmlformats.org/officeDocument/2006/relationships/hyperlink" Target="https://www.epa.gov/sites/production/files/2015-12/documents/8141b.pdf" TargetMode="External"/><Relationship Id="rId4" Type="http://schemas.openxmlformats.org/officeDocument/2006/relationships/hyperlink" Target="http://www.iso.org/iso/fr/home/store/catalogue_tc/catalogue_detail.htm?csnumber=44538" TargetMode="External"/><Relationship Id="rId9" Type="http://schemas.openxmlformats.org/officeDocument/2006/relationships/hyperlink" Target="http://www.issep.be/wp-content/uploads/S-II-2.2v1-Dosage-des-ETM-dans-les-extraits-deau-r%C3%A9gale-par-ICP.pdf" TargetMode="External"/><Relationship Id="rId13" Type="http://schemas.openxmlformats.org/officeDocument/2006/relationships/hyperlink" Target="http://www.issep.be/wp-content/uploads/S-II-4v3-Dosage-du-CrVI-dans-les-sols.pdf" TargetMode="External"/><Relationship Id="rId18" Type="http://schemas.openxmlformats.org/officeDocument/2006/relationships/hyperlink" Target="http://www.iso.org/iso/fr/home/store/catalogue_tc/catalogue_detail.htm?csnumber=41478" TargetMode="External"/><Relationship Id="rId39" Type="http://schemas.openxmlformats.org/officeDocument/2006/relationships/hyperlink" Target="https://www.epa.gov/sites/production/files/2015-12/documents/8141b.pdf" TargetMode="External"/><Relationship Id="rId109" Type="http://schemas.openxmlformats.org/officeDocument/2006/relationships/hyperlink" Target="https://www.iso.org/fr/standard/44752.html" TargetMode="External"/><Relationship Id="rId34" Type="http://schemas.openxmlformats.org/officeDocument/2006/relationships/hyperlink" Target="http://www.iso.org/iso/fr/home/store/catalogue_tc/catalogue_detail.htm?csnumber=32399" TargetMode="External"/><Relationship Id="rId50" Type="http://schemas.openxmlformats.org/officeDocument/2006/relationships/hyperlink" Target="https://www.epa.gov/sites/production/files/2015-07/documents/epa-5035a.pdf" TargetMode="External"/><Relationship Id="rId55" Type="http://schemas.openxmlformats.org/officeDocument/2006/relationships/hyperlink" Target="https://www.epa.gov/sites/production/files/2015-12/documents/8260b.pdf" TargetMode="External"/><Relationship Id="rId76" Type="http://schemas.openxmlformats.org/officeDocument/2006/relationships/hyperlink" Target="https://www.nbn.be/fr/catalogue/standard/nbn-en-iso-15587-2" TargetMode="External"/><Relationship Id="rId97" Type="http://schemas.openxmlformats.org/officeDocument/2006/relationships/hyperlink" Target="http://www.iso.org/iso/catalogue_detail.htm?csnumber=18416" TargetMode="External"/><Relationship Id="rId104" Type="http://schemas.openxmlformats.org/officeDocument/2006/relationships/hyperlink" Target="http://www.ceaeq.gouv.qc.ca/methodes/pdf/MA403Pest31.pdf" TargetMode="External"/><Relationship Id="rId7" Type="http://schemas.openxmlformats.org/officeDocument/2006/relationships/hyperlink" Target="http://www.issep.be/wp-content/uploads/1-S-II-1v2-Extraction-des-ETM-solubles-dans-lER.pdf" TargetMode="External"/><Relationship Id="rId71" Type="http://schemas.openxmlformats.org/officeDocument/2006/relationships/hyperlink" Target="https://www.nbn.be/fr/catalogue/standard/nbn-en-iso-11885-0?fulltext=11885" TargetMode="External"/><Relationship Id="rId92" Type="http://schemas.openxmlformats.org/officeDocument/2006/relationships/hyperlink" Target="https://www.nbn.be/fr/catalogue/standard/nbn-en-iso-11732-0?fulltext=11732"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FF0000"/>
  </sheetPr>
  <dimension ref="A1:B18"/>
  <sheetViews>
    <sheetView workbookViewId="0">
      <selection activeCell="A6" sqref="A6"/>
    </sheetView>
  </sheetViews>
  <sheetFormatPr baseColWidth="10" defaultRowHeight="15"/>
  <cols>
    <col min="1" max="1" width="128.140625" customWidth="1"/>
    <col min="2" max="2" width="8.5703125" style="3" customWidth="1"/>
    <col min="3" max="3" width="17.7109375" customWidth="1"/>
    <col min="4" max="4" width="25.7109375" customWidth="1"/>
  </cols>
  <sheetData>
    <row r="1" spans="1:2" s="534" customFormat="1">
      <c r="B1" s="3"/>
    </row>
    <row r="2" spans="1:2" s="534" customFormat="1">
      <c r="A2" s="581" t="s">
        <v>2550</v>
      </c>
      <c r="B2" s="3"/>
    </row>
    <row r="4" spans="1:2">
      <c r="A4" s="201" t="s">
        <v>2551</v>
      </c>
    </row>
    <row r="6" spans="1:2" ht="60">
      <c r="A6" s="196" t="s">
        <v>1397</v>
      </c>
    </row>
    <row r="7" spans="1:2">
      <c r="A7" s="196"/>
    </row>
    <row r="8" spans="1:2" ht="26.45" customHeight="1">
      <c r="A8" s="202" t="s">
        <v>1810</v>
      </c>
    </row>
    <row r="9" spans="1:2">
      <c r="A9" s="196"/>
    </row>
    <row r="10" spans="1:2" ht="60">
      <c r="A10" s="196" t="s">
        <v>1811</v>
      </c>
    </row>
    <row r="12" spans="1:2" ht="45">
      <c r="A12" s="196" t="s">
        <v>1359</v>
      </c>
    </row>
    <row r="14" spans="1:2" ht="46.5" customHeight="1">
      <c r="A14" s="981" t="s">
        <v>2552</v>
      </c>
    </row>
    <row r="16" spans="1:2" ht="45">
      <c r="A16" s="196" t="s">
        <v>1808</v>
      </c>
    </row>
    <row r="18" spans="1:1">
      <c r="A18" t="s">
        <v>1360</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sheetPr>
    <tabColor theme="3"/>
  </sheetPr>
  <dimension ref="A2:S288"/>
  <sheetViews>
    <sheetView view="pageBreakPreview" topLeftCell="A223" zoomScale="60" zoomScaleNormal="60" workbookViewId="0">
      <selection activeCell="F277" sqref="F277"/>
    </sheetView>
  </sheetViews>
  <sheetFormatPr baseColWidth="10" defaultRowHeight="15"/>
  <cols>
    <col min="1" max="1" width="4.28515625" customWidth="1"/>
    <col min="2" max="2" width="18.28515625" style="74" customWidth="1"/>
    <col min="3" max="3" width="15.42578125" customWidth="1"/>
    <col min="4" max="4" width="52.28515625" style="124" customWidth="1"/>
    <col min="5" max="5" width="2" style="671" customWidth="1"/>
    <col min="6" max="6" width="21.7109375" style="74" customWidth="1"/>
    <col min="7" max="7" width="20.140625" style="74" customWidth="1"/>
    <col min="8" max="8" width="19.140625" style="74" customWidth="1"/>
    <col min="9" max="9" width="13.7109375" style="74" customWidth="1"/>
    <col min="10" max="10" width="13.28515625" style="74" customWidth="1"/>
    <col min="11" max="11" width="14" style="74" customWidth="1"/>
    <col min="12" max="12" width="15.7109375" style="74" customWidth="1"/>
    <col min="13" max="13" width="21.5703125" style="74" customWidth="1"/>
    <col min="14" max="14" width="18.42578125" style="74" customWidth="1"/>
    <col min="15" max="15" width="15.7109375" style="74" customWidth="1"/>
    <col min="16" max="16" width="17.5703125" style="74" customWidth="1"/>
    <col min="17" max="17" width="2.5703125" style="651" customWidth="1"/>
    <col min="18" max="18" width="19.42578125" style="74" customWidth="1"/>
    <col min="19" max="19" width="29.5703125" style="74" customWidth="1"/>
  </cols>
  <sheetData>
    <row r="2" spans="1:19" ht="124.5" customHeight="1">
      <c r="A2" s="631"/>
      <c r="B2" s="641" t="s">
        <v>450</v>
      </c>
      <c r="C2" s="641" t="s">
        <v>46</v>
      </c>
      <c r="D2" s="642" t="s">
        <v>496</v>
      </c>
      <c r="E2" s="643"/>
      <c r="F2" s="644" t="s">
        <v>574</v>
      </c>
      <c r="G2" s="623" t="s">
        <v>575</v>
      </c>
      <c r="H2" s="623" t="s">
        <v>576</v>
      </c>
      <c r="I2" s="623" t="s">
        <v>2499</v>
      </c>
      <c r="J2" s="623" t="s">
        <v>2500</v>
      </c>
      <c r="K2" s="623" t="s">
        <v>2501</v>
      </c>
      <c r="L2" s="623" t="s">
        <v>2502</v>
      </c>
      <c r="M2" s="623" t="s">
        <v>2503</v>
      </c>
      <c r="N2" s="623" t="s">
        <v>2504</v>
      </c>
      <c r="O2" s="623" t="s">
        <v>577</v>
      </c>
      <c r="P2" s="645" t="s">
        <v>2491</v>
      </c>
      <c r="Q2" s="646"/>
      <c r="R2" s="644" t="s">
        <v>578</v>
      </c>
      <c r="S2" s="623" t="s">
        <v>579</v>
      </c>
    </row>
    <row r="3" spans="1:19">
      <c r="A3" s="631"/>
      <c r="B3" s="624">
        <v>1</v>
      </c>
      <c r="C3" s="617" t="s">
        <v>198</v>
      </c>
      <c r="D3" s="741" t="s">
        <v>1579</v>
      </c>
      <c r="E3" s="647"/>
      <c r="F3" s="648">
        <v>200</v>
      </c>
      <c r="G3" s="649"/>
      <c r="H3" s="649"/>
      <c r="I3" s="649"/>
      <c r="J3" s="649"/>
      <c r="K3" s="649"/>
      <c r="L3" s="649"/>
      <c r="M3" s="650">
        <v>20000</v>
      </c>
      <c r="N3" s="624"/>
      <c r="O3" s="624">
        <v>1</v>
      </c>
      <c r="P3" s="632">
        <v>6000</v>
      </c>
      <c r="R3" s="652">
        <v>200</v>
      </c>
      <c r="S3" s="624" t="s">
        <v>580</v>
      </c>
    </row>
    <row r="4" spans="1:19">
      <c r="A4" s="631"/>
      <c r="B4" s="624">
        <v>2</v>
      </c>
      <c r="C4" s="617" t="s">
        <v>200</v>
      </c>
      <c r="D4" s="741" t="s">
        <v>1582</v>
      </c>
      <c r="E4" s="647"/>
      <c r="F4" s="648">
        <v>5</v>
      </c>
      <c r="G4" s="649"/>
      <c r="H4" s="649"/>
      <c r="I4" s="649">
        <v>20</v>
      </c>
      <c r="J4" s="649">
        <v>20</v>
      </c>
      <c r="K4" s="649">
        <v>6</v>
      </c>
      <c r="L4" s="649"/>
      <c r="M4" s="650">
        <v>7.8</v>
      </c>
      <c r="N4" s="624"/>
      <c r="O4" s="624">
        <v>4.0000000000000002E-4</v>
      </c>
      <c r="P4" s="632">
        <v>2.4000000000000004</v>
      </c>
      <c r="R4" s="652">
        <v>5</v>
      </c>
      <c r="S4" s="624" t="s">
        <v>580</v>
      </c>
    </row>
    <row r="5" spans="1:19">
      <c r="A5" s="631"/>
      <c r="B5" s="624">
        <v>3</v>
      </c>
      <c r="C5" s="617" t="s">
        <v>202</v>
      </c>
      <c r="D5" s="741" t="s">
        <v>1587</v>
      </c>
      <c r="E5" s="647"/>
      <c r="F5" s="648"/>
      <c r="G5" s="649"/>
      <c r="H5" s="649"/>
      <c r="I5" s="649">
        <v>700</v>
      </c>
      <c r="J5" s="649">
        <v>625</v>
      </c>
      <c r="K5" s="649">
        <v>2000</v>
      </c>
      <c r="L5" s="649"/>
      <c r="M5" s="650">
        <v>3800</v>
      </c>
      <c r="N5" s="624"/>
      <c r="O5" s="624">
        <v>0.2</v>
      </c>
      <c r="P5" s="632">
        <v>1200.0000000000002</v>
      </c>
      <c r="R5" s="652">
        <v>700</v>
      </c>
      <c r="S5" s="624" t="s">
        <v>581</v>
      </c>
    </row>
    <row r="6" spans="1:19">
      <c r="A6" s="631"/>
      <c r="B6" s="624">
        <v>4</v>
      </c>
      <c r="C6" s="617" t="s">
        <v>203</v>
      </c>
      <c r="D6" s="741" t="s">
        <v>1589</v>
      </c>
      <c r="E6" s="647"/>
      <c r="F6" s="648"/>
      <c r="G6" s="649"/>
      <c r="H6" s="649"/>
      <c r="I6" s="649"/>
      <c r="J6" s="649"/>
      <c r="K6" s="649">
        <v>4</v>
      </c>
      <c r="L6" s="649"/>
      <c r="M6" s="650">
        <v>25</v>
      </c>
      <c r="N6" s="624">
        <v>15</v>
      </c>
      <c r="O6" s="624">
        <v>2E-3</v>
      </c>
      <c r="P6" s="632">
        <v>12</v>
      </c>
      <c r="R6" s="652">
        <v>4</v>
      </c>
      <c r="S6" s="624" t="s">
        <v>582</v>
      </c>
    </row>
    <row r="7" spans="1:19">
      <c r="A7" s="631"/>
      <c r="B7" s="624">
        <v>5</v>
      </c>
      <c r="C7" s="617" t="s">
        <v>204</v>
      </c>
      <c r="D7" s="741" t="s">
        <v>1620</v>
      </c>
      <c r="E7" s="647"/>
      <c r="F7" s="648"/>
      <c r="G7" s="649"/>
      <c r="H7" s="649"/>
      <c r="I7" s="649"/>
      <c r="J7" s="649">
        <v>100</v>
      </c>
      <c r="K7" s="649"/>
      <c r="L7" s="649"/>
      <c r="M7" s="650">
        <v>6</v>
      </c>
      <c r="N7" s="624"/>
      <c r="O7" s="624">
        <v>1.4E-3</v>
      </c>
      <c r="P7" s="632">
        <v>8.4</v>
      </c>
      <c r="R7" s="652">
        <v>100</v>
      </c>
      <c r="S7" s="624" t="s">
        <v>583</v>
      </c>
    </row>
    <row r="8" spans="1:19">
      <c r="A8" s="631"/>
      <c r="B8" s="624">
        <v>6</v>
      </c>
      <c r="C8" s="628" t="s">
        <v>205</v>
      </c>
      <c r="D8" s="741" t="s">
        <v>1667</v>
      </c>
      <c r="E8" s="647"/>
      <c r="F8" s="648"/>
      <c r="G8" s="649"/>
      <c r="H8" s="649"/>
      <c r="I8" s="649"/>
      <c r="J8" s="649"/>
      <c r="K8" s="649"/>
      <c r="L8" s="649"/>
      <c r="M8" s="650">
        <v>12000</v>
      </c>
      <c r="N8" s="624">
        <v>50</v>
      </c>
      <c r="O8" s="624">
        <v>0.2</v>
      </c>
      <c r="P8" s="632">
        <v>1200.0000000000002</v>
      </c>
      <c r="R8" s="652">
        <v>12000</v>
      </c>
      <c r="S8" s="624" t="s">
        <v>584</v>
      </c>
    </row>
    <row r="9" spans="1:19">
      <c r="A9" s="631"/>
      <c r="B9" s="624">
        <v>7</v>
      </c>
      <c r="C9" s="617" t="s">
        <v>206</v>
      </c>
      <c r="D9" s="741" t="s">
        <v>1695</v>
      </c>
      <c r="E9" s="647"/>
      <c r="F9" s="648"/>
      <c r="G9" s="649"/>
      <c r="H9" s="649"/>
      <c r="I9" s="649">
        <v>400</v>
      </c>
      <c r="J9" s="649"/>
      <c r="K9" s="649"/>
      <c r="L9" s="649"/>
      <c r="M9" s="650">
        <v>430</v>
      </c>
      <c r="N9" s="624"/>
      <c r="O9" s="624">
        <v>0.06</v>
      </c>
      <c r="P9" s="632">
        <v>360</v>
      </c>
      <c r="R9" s="652">
        <v>400</v>
      </c>
      <c r="S9" s="624" t="s">
        <v>581</v>
      </c>
    </row>
    <row r="10" spans="1:19">
      <c r="A10" s="631"/>
      <c r="B10" s="624">
        <v>8</v>
      </c>
      <c r="C10" s="617" t="s">
        <v>207</v>
      </c>
      <c r="D10" s="741" t="s">
        <v>1712</v>
      </c>
      <c r="E10" s="647"/>
      <c r="F10" s="648"/>
      <c r="G10" s="649"/>
      <c r="H10" s="649"/>
      <c r="I10" s="649"/>
      <c r="J10" s="649">
        <v>300</v>
      </c>
      <c r="K10" s="649"/>
      <c r="L10" s="649"/>
      <c r="M10" s="650">
        <v>100</v>
      </c>
      <c r="N10" s="624"/>
      <c r="O10" s="624">
        <v>5.0000000000000001E-3</v>
      </c>
      <c r="P10" s="632">
        <v>30</v>
      </c>
      <c r="R10" s="652">
        <v>300</v>
      </c>
      <c r="S10" s="624" t="s">
        <v>583</v>
      </c>
    </row>
    <row r="11" spans="1:19">
      <c r="A11" s="631"/>
      <c r="B11" s="624">
        <v>9</v>
      </c>
      <c r="C11" s="617" t="s">
        <v>208</v>
      </c>
      <c r="D11" s="741" t="s">
        <v>1761</v>
      </c>
      <c r="E11" s="647"/>
      <c r="F11" s="648">
        <v>10</v>
      </c>
      <c r="G11" s="649"/>
      <c r="H11" s="649"/>
      <c r="I11" s="649">
        <v>40</v>
      </c>
      <c r="J11" s="649"/>
      <c r="K11" s="649">
        <v>50</v>
      </c>
      <c r="L11" s="649"/>
      <c r="M11" s="650">
        <v>100</v>
      </c>
      <c r="N11" s="624">
        <v>160</v>
      </c>
      <c r="O11" s="624">
        <v>5.0000000000000001E-3</v>
      </c>
      <c r="P11" s="632">
        <v>30</v>
      </c>
      <c r="R11" s="652">
        <v>10</v>
      </c>
      <c r="S11" s="624" t="s">
        <v>580</v>
      </c>
    </row>
    <row r="12" spans="1:19">
      <c r="A12" s="631"/>
      <c r="B12" s="624">
        <v>10</v>
      </c>
      <c r="C12" s="617" t="s">
        <v>210</v>
      </c>
      <c r="D12" s="741" t="s">
        <v>1780</v>
      </c>
      <c r="E12" s="647"/>
      <c r="F12" s="648"/>
      <c r="G12" s="649"/>
      <c r="H12" s="649"/>
      <c r="I12" s="649"/>
      <c r="J12" s="649"/>
      <c r="K12" s="649"/>
      <c r="L12" s="649"/>
      <c r="M12" s="650"/>
      <c r="N12" s="624"/>
      <c r="O12" s="624">
        <v>3</v>
      </c>
      <c r="P12" s="632">
        <v>18000</v>
      </c>
      <c r="R12" s="652">
        <v>18000</v>
      </c>
      <c r="S12" s="624" t="s">
        <v>585</v>
      </c>
    </row>
    <row r="13" spans="1:19">
      <c r="A13" s="631"/>
      <c r="B13" s="624">
        <v>11</v>
      </c>
      <c r="C13" s="628" t="s">
        <v>211</v>
      </c>
      <c r="D13" s="741" t="s">
        <v>1784</v>
      </c>
      <c r="E13" s="647"/>
      <c r="F13" s="648"/>
      <c r="G13" s="649"/>
      <c r="H13" s="649"/>
      <c r="I13" s="649"/>
      <c r="J13" s="649"/>
      <c r="K13" s="649"/>
      <c r="L13" s="649">
        <v>50</v>
      </c>
      <c r="M13" s="650">
        <v>86</v>
      </c>
      <c r="N13" s="624">
        <v>70</v>
      </c>
      <c r="O13" s="624">
        <v>8.9999999999999993E-3</v>
      </c>
      <c r="P13" s="632">
        <v>53.999999999999993</v>
      </c>
      <c r="R13" s="652">
        <v>50</v>
      </c>
      <c r="S13" s="624" t="s">
        <v>586</v>
      </c>
    </row>
    <row r="14" spans="1:19">
      <c r="A14" s="631"/>
      <c r="B14" s="624">
        <v>12</v>
      </c>
      <c r="C14" s="617" t="s">
        <v>338</v>
      </c>
      <c r="D14" s="741" t="s">
        <v>1467</v>
      </c>
      <c r="E14" s="653"/>
      <c r="F14" s="648"/>
      <c r="G14" s="649">
        <v>330</v>
      </c>
      <c r="H14" s="649">
        <v>330</v>
      </c>
      <c r="I14" s="654"/>
      <c r="J14" s="649">
        <v>900</v>
      </c>
      <c r="K14" s="649"/>
      <c r="L14" s="649"/>
      <c r="M14" s="650">
        <v>2.8</v>
      </c>
      <c r="N14" s="624"/>
      <c r="O14" s="624"/>
      <c r="P14" s="632"/>
      <c r="R14" s="652">
        <v>330</v>
      </c>
      <c r="S14" s="624" t="s">
        <v>587</v>
      </c>
    </row>
    <row r="15" spans="1:19" ht="24" customHeight="1">
      <c r="A15" s="631"/>
      <c r="B15" s="624">
        <v>13</v>
      </c>
      <c r="C15" s="618" t="s">
        <v>508</v>
      </c>
      <c r="D15" s="741" t="s">
        <v>1740</v>
      </c>
      <c r="E15" s="647"/>
      <c r="F15" s="648"/>
      <c r="G15" s="654"/>
      <c r="H15" s="649">
        <v>0.1</v>
      </c>
      <c r="I15" s="649"/>
      <c r="J15" s="649">
        <v>0.01</v>
      </c>
      <c r="K15" s="655">
        <v>0.5</v>
      </c>
      <c r="L15" s="649"/>
      <c r="M15" s="650">
        <v>4.3999999999999997E-2</v>
      </c>
      <c r="N15" s="624"/>
      <c r="O15" s="624"/>
      <c r="P15" s="632"/>
      <c r="R15" s="652">
        <v>0.1</v>
      </c>
      <c r="S15" s="624" t="s">
        <v>588</v>
      </c>
    </row>
    <row r="16" spans="1:19">
      <c r="A16" s="631"/>
      <c r="B16" s="624">
        <v>14</v>
      </c>
      <c r="C16" s="617" t="s">
        <v>66</v>
      </c>
      <c r="D16" s="741" t="s">
        <v>1612</v>
      </c>
      <c r="E16" s="647"/>
      <c r="F16" s="648"/>
      <c r="G16" s="649">
        <v>300</v>
      </c>
      <c r="H16" s="649">
        <v>300</v>
      </c>
      <c r="I16" s="649"/>
      <c r="J16" s="649">
        <v>180</v>
      </c>
      <c r="K16" s="649">
        <v>100</v>
      </c>
      <c r="L16" s="649"/>
      <c r="M16" s="650">
        <v>78</v>
      </c>
      <c r="N16" s="624"/>
      <c r="O16" s="624"/>
      <c r="P16" s="632"/>
      <c r="R16" s="652">
        <v>300</v>
      </c>
      <c r="S16" s="624" t="s">
        <v>587</v>
      </c>
    </row>
    <row r="17" spans="1:19">
      <c r="A17" s="631"/>
      <c r="B17" s="624">
        <v>15</v>
      </c>
      <c r="C17" s="617" t="s">
        <v>71</v>
      </c>
      <c r="D17" s="741" t="s">
        <v>1479</v>
      </c>
      <c r="E17" s="647"/>
      <c r="F17" s="648"/>
      <c r="G17" s="649">
        <v>1000</v>
      </c>
      <c r="H17" s="649">
        <v>1000</v>
      </c>
      <c r="I17" s="649">
        <v>1000</v>
      </c>
      <c r="J17" s="649">
        <v>50</v>
      </c>
      <c r="K17" s="649">
        <v>600</v>
      </c>
      <c r="L17" s="649"/>
      <c r="M17" s="650">
        <v>300</v>
      </c>
      <c r="N17" s="624"/>
      <c r="O17" s="624"/>
      <c r="P17" s="632"/>
      <c r="R17" s="652">
        <v>1000</v>
      </c>
      <c r="S17" s="624" t="s">
        <v>587</v>
      </c>
    </row>
    <row r="18" spans="1:19">
      <c r="A18" s="631"/>
      <c r="B18" s="624">
        <v>16</v>
      </c>
      <c r="C18" s="617" t="s">
        <v>72</v>
      </c>
      <c r="D18" s="741" t="s">
        <v>1483</v>
      </c>
      <c r="E18" s="647"/>
      <c r="F18" s="648"/>
      <c r="G18" s="649">
        <v>1000</v>
      </c>
      <c r="H18" s="649">
        <v>1000</v>
      </c>
      <c r="I18" s="649"/>
      <c r="J18" s="649">
        <v>50</v>
      </c>
      <c r="K18" s="649"/>
      <c r="L18" s="649"/>
      <c r="M18" s="650"/>
      <c r="N18" s="624"/>
      <c r="O18" s="624"/>
      <c r="P18" s="632"/>
      <c r="R18" s="652">
        <v>1000</v>
      </c>
      <c r="S18" s="624" t="s">
        <v>587</v>
      </c>
    </row>
    <row r="19" spans="1:19">
      <c r="A19" s="631"/>
      <c r="B19" s="624">
        <v>17</v>
      </c>
      <c r="C19" s="617" t="s">
        <v>73</v>
      </c>
      <c r="D19" s="741" t="s">
        <v>1484</v>
      </c>
      <c r="E19" s="647"/>
      <c r="F19" s="648"/>
      <c r="G19" s="649">
        <v>300</v>
      </c>
      <c r="H19" s="649">
        <v>300</v>
      </c>
      <c r="I19" s="649">
        <v>300</v>
      </c>
      <c r="J19" s="649">
        <v>50</v>
      </c>
      <c r="K19" s="649">
        <v>75</v>
      </c>
      <c r="L19" s="649"/>
      <c r="M19" s="650">
        <v>0.48</v>
      </c>
      <c r="N19" s="624"/>
      <c r="O19" s="624"/>
      <c r="P19" s="632"/>
      <c r="R19" s="652">
        <v>300</v>
      </c>
      <c r="S19" s="624" t="s">
        <v>587</v>
      </c>
    </row>
    <row r="20" spans="1:19">
      <c r="A20" s="631"/>
      <c r="B20" s="624">
        <v>18</v>
      </c>
      <c r="C20" s="617" t="s">
        <v>85</v>
      </c>
      <c r="D20" s="741" t="s">
        <v>1471</v>
      </c>
      <c r="E20" s="647"/>
      <c r="F20" s="648"/>
      <c r="G20" s="649">
        <v>20</v>
      </c>
      <c r="H20" s="649">
        <v>20</v>
      </c>
      <c r="I20" s="649"/>
      <c r="J20" s="649">
        <v>10</v>
      </c>
      <c r="K20" s="649"/>
      <c r="L20" s="649"/>
      <c r="M20" s="650">
        <v>7</v>
      </c>
      <c r="N20" s="624"/>
      <c r="O20" s="624"/>
      <c r="P20" s="632"/>
      <c r="R20" s="652">
        <v>7</v>
      </c>
      <c r="S20" s="624" t="s">
        <v>584</v>
      </c>
    </row>
    <row r="21" spans="1:19">
      <c r="A21" s="631"/>
      <c r="B21" s="624">
        <v>19</v>
      </c>
      <c r="C21" s="617" t="s">
        <v>86</v>
      </c>
      <c r="D21" s="741" t="s">
        <v>1472</v>
      </c>
      <c r="E21" s="647"/>
      <c r="F21" s="648"/>
      <c r="G21" s="649">
        <v>20</v>
      </c>
      <c r="H21" s="649">
        <v>20</v>
      </c>
      <c r="I21" s="649"/>
      <c r="J21" s="649">
        <v>10</v>
      </c>
      <c r="K21" s="649">
        <v>70</v>
      </c>
      <c r="L21" s="649"/>
      <c r="M21" s="650">
        <v>1.2</v>
      </c>
      <c r="N21" s="624"/>
      <c r="O21" s="624"/>
      <c r="P21" s="632"/>
      <c r="R21" s="652">
        <v>1.2</v>
      </c>
      <c r="S21" s="624" t="s">
        <v>584</v>
      </c>
    </row>
    <row r="22" spans="1:19">
      <c r="A22" s="631"/>
      <c r="B22" s="624">
        <v>20</v>
      </c>
      <c r="C22" s="617" t="s">
        <v>87</v>
      </c>
      <c r="D22" s="741" t="s">
        <v>1480</v>
      </c>
      <c r="E22" s="647"/>
      <c r="F22" s="648"/>
      <c r="G22" s="649">
        <v>20</v>
      </c>
      <c r="H22" s="649">
        <v>20</v>
      </c>
      <c r="I22" s="649"/>
      <c r="J22" s="649">
        <v>10</v>
      </c>
      <c r="K22" s="649"/>
      <c r="L22" s="649"/>
      <c r="M22" s="650"/>
      <c r="N22" s="624"/>
      <c r="O22" s="624"/>
      <c r="P22" s="632">
        <v>9</v>
      </c>
      <c r="R22" s="652">
        <v>9</v>
      </c>
      <c r="S22" s="624" t="s">
        <v>585</v>
      </c>
    </row>
    <row r="23" spans="1:19">
      <c r="A23" s="631"/>
      <c r="B23" s="624">
        <v>21</v>
      </c>
      <c r="C23" s="617" t="s">
        <v>115</v>
      </c>
      <c r="D23" s="741" t="s">
        <v>1469</v>
      </c>
      <c r="E23" s="647"/>
      <c r="F23" s="648"/>
      <c r="G23" s="649">
        <v>9</v>
      </c>
      <c r="H23" s="649">
        <v>9</v>
      </c>
      <c r="I23" s="649"/>
      <c r="J23" s="649">
        <v>2.5</v>
      </c>
      <c r="K23" s="649"/>
      <c r="L23" s="649"/>
      <c r="M23" s="650"/>
      <c r="N23" s="624"/>
      <c r="O23" s="624"/>
      <c r="P23" s="632">
        <v>20</v>
      </c>
      <c r="R23" s="652">
        <v>20</v>
      </c>
      <c r="S23" s="624" t="s">
        <v>585</v>
      </c>
    </row>
    <row r="24" spans="1:19">
      <c r="A24" s="631"/>
      <c r="B24" s="624">
        <v>22</v>
      </c>
      <c r="C24" s="617" t="s">
        <v>116</v>
      </c>
      <c r="D24" s="741" t="s">
        <v>1474</v>
      </c>
      <c r="E24" s="647"/>
      <c r="F24" s="648"/>
      <c r="G24" s="649">
        <v>9</v>
      </c>
      <c r="H24" s="649">
        <v>9</v>
      </c>
      <c r="I24" s="649"/>
      <c r="J24" s="649">
        <v>2.5</v>
      </c>
      <c r="K24" s="649"/>
      <c r="L24" s="649"/>
      <c r="M24" s="650">
        <v>1.7</v>
      </c>
      <c r="N24" s="624"/>
      <c r="O24" s="624"/>
      <c r="P24" s="632"/>
      <c r="R24" s="652">
        <v>1.7</v>
      </c>
      <c r="S24" s="624" t="s">
        <v>584</v>
      </c>
    </row>
    <row r="25" spans="1:19">
      <c r="A25" s="631"/>
      <c r="B25" s="624">
        <v>23</v>
      </c>
      <c r="C25" s="617" t="s">
        <v>117</v>
      </c>
      <c r="D25" s="741" t="s">
        <v>1742</v>
      </c>
      <c r="E25" s="647"/>
      <c r="F25" s="648"/>
      <c r="G25" s="649">
        <v>2.4</v>
      </c>
      <c r="H25" s="649">
        <v>2.4</v>
      </c>
      <c r="I25" s="649"/>
      <c r="J25" s="649">
        <v>1</v>
      </c>
      <c r="K25" s="649"/>
      <c r="L25" s="649"/>
      <c r="M25" s="650">
        <v>3.2</v>
      </c>
      <c r="N25" s="624"/>
      <c r="O25" s="624"/>
      <c r="P25" s="632"/>
      <c r="R25" s="652">
        <v>2.4</v>
      </c>
      <c r="S25" s="624" t="s">
        <v>587</v>
      </c>
    </row>
    <row r="26" spans="1:19">
      <c r="A26" s="631"/>
      <c r="B26" s="624">
        <v>24</v>
      </c>
      <c r="C26" s="617" t="s">
        <v>118</v>
      </c>
      <c r="D26" s="745" t="s">
        <v>1680</v>
      </c>
      <c r="E26" s="647"/>
      <c r="F26" s="648"/>
      <c r="G26" s="649">
        <v>1</v>
      </c>
      <c r="H26" s="649">
        <v>1</v>
      </c>
      <c r="I26" s="649"/>
      <c r="J26" s="649">
        <v>0.5</v>
      </c>
      <c r="K26" s="649">
        <v>1</v>
      </c>
      <c r="L26" s="649"/>
      <c r="M26" s="650">
        <v>9.7999999999999997E-3</v>
      </c>
      <c r="N26" s="624"/>
      <c r="O26" s="624"/>
      <c r="P26" s="632"/>
      <c r="R26" s="652">
        <v>1</v>
      </c>
      <c r="S26" s="624" t="s">
        <v>587</v>
      </c>
    </row>
    <row r="27" spans="1:19">
      <c r="A27" s="631"/>
      <c r="B27" s="624">
        <v>25</v>
      </c>
      <c r="C27" s="617" t="s">
        <v>88</v>
      </c>
      <c r="D27" s="741" t="s">
        <v>1623</v>
      </c>
      <c r="E27" s="647"/>
      <c r="F27" s="648"/>
      <c r="G27" s="649"/>
      <c r="H27" s="649"/>
      <c r="I27" s="649"/>
      <c r="J27" s="649"/>
      <c r="K27" s="649"/>
      <c r="L27" s="649"/>
      <c r="M27" s="650">
        <v>930</v>
      </c>
      <c r="N27" s="624"/>
      <c r="O27" s="624">
        <v>0.05</v>
      </c>
      <c r="P27" s="632">
        <v>150.00000000000003</v>
      </c>
      <c r="R27" s="652">
        <v>930</v>
      </c>
      <c r="S27" s="624" t="s">
        <v>584</v>
      </c>
    </row>
    <row r="28" spans="1:19">
      <c r="A28" s="631"/>
      <c r="B28" s="624">
        <v>26</v>
      </c>
      <c r="C28" s="617" t="s">
        <v>89</v>
      </c>
      <c r="D28" s="741" t="s">
        <v>1622</v>
      </c>
      <c r="E28" s="647"/>
      <c r="F28" s="648"/>
      <c r="G28" s="649"/>
      <c r="H28" s="649"/>
      <c r="I28" s="649"/>
      <c r="J28" s="649"/>
      <c r="K28" s="649"/>
      <c r="L28" s="649"/>
      <c r="M28" s="650">
        <v>930</v>
      </c>
      <c r="N28" s="624"/>
      <c r="O28" s="624">
        <v>0.05</v>
      </c>
      <c r="P28" s="632">
        <v>150.00000000000003</v>
      </c>
      <c r="R28" s="652">
        <v>930</v>
      </c>
      <c r="S28" s="624" t="s">
        <v>584</v>
      </c>
    </row>
    <row r="29" spans="1:19">
      <c r="A29" s="631"/>
      <c r="B29" s="624">
        <v>27</v>
      </c>
      <c r="C29" s="617" t="s">
        <v>90</v>
      </c>
      <c r="D29" s="741" t="s">
        <v>1621</v>
      </c>
      <c r="E29" s="647"/>
      <c r="F29" s="648"/>
      <c r="G29" s="649"/>
      <c r="H29" s="649"/>
      <c r="I29" s="649"/>
      <c r="J29" s="649"/>
      <c r="K29" s="649"/>
      <c r="L29" s="649"/>
      <c r="M29" s="650">
        <v>1900</v>
      </c>
      <c r="N29" s="624"/>
      <c r="O29" s="624"/>
      <c r="P29" s="632"/>
      <c r="R29" s="652">
        <v>1900</v>
      </c>
      <c r="S29" s="624" t="s">
        <v>584</v>
      </c>
    </row>
    <row r="30" spans="1:19" ht="30">
      <c r="A30" s="631"/>
      <c r="B30" s="624">
        <v>28</v>
      </c>
      <c r="C30" s="618" t="s">
        <v>340</v>
      </c>
      <c r="D30" s="745" t="s">
        <v>1766</v>
      </c>
      <c r="E30" s="656"/>
      <c r="F30" s="648"/>
      <c r="G30" s="649"/>
      <c r="H30" s="649"/>
      <c r="I30" s="649"/>
      <c r="J30" s="649">
        <v>200</v>
      </c>
      <c r="K30" s="649"/>
      <c r="L30" s="649"/>
      <c r="M30" s="650">
        <v>1500</v>
      </c>
      <c r="N30" s="624"/>
      <c r="O30" s="624"/>
      <c r="P30" s="632"/>
      <c r="R30" s="652">
        <v>930</v>
      </c>
      <c r="S30" s="657" t="s">
        <v>589</v>
      </c>
    </row>
    <row r="31" spans="1:19">
      <c r="A31" s="631"/>
      <c r="B31" s="624">
        <v>29</v>
      </c>
      <c r="C31" s="617" t="s">
        <v>91</v>
      </c>
      <c r="D31" s="741" t="s">
        <v>1543</v>
      </c>
      <c r="E31" s="647"/>
      <c r="F31" s="648"/>
      <c r="G31" s="649"/>
      <c r="H31" s="649"/>
      <c r="I31" s="649"/>
      <c r="J31" s="649"/>
      <c r="K31" s="649"/>
      <c r="L31" s="649"/>
      <c r="M31" s="650">
        <v>360</v>
      </c>
      <c r="N31" s="624"/>
      <c r="O31" s="624"/>
      <c r="P31" s="632"/>
      <c r="R31" s="652">
        <v>360</v>
      </c>
      <c r="S31" s="624" t="s">
        <v>584</v>
      </c>
    </row>
    <row r="32" spans="1:19" s="68" customFormat="1">
      <c r="A32" s="631"/>
      <c r="B32" s="624">
        <v>30</v>
      </c>
      <c r="C32" s="617" t="s">
        <v>92</v>
      </c>
      <c r="D32" s="741" t="s">
        <v>1544</v>
      </c>
      <c r="E32" s="658"/>
      <c r="F32" s="648"/>
      <c r="G32" s="649"/>
      <c r="H32" s="649"/>
      <c r="I32" s="649"/>
      <c r="J32" s="649"/>
      <c r="K32" s="649"/>
      <c r="L32" s="649"/>
      <c r="M32" s="624"/>
      <c r="N32" s="624"/>
      <c r="O32" s="624"/>
      <c r="P32" s="632"/>
      <c r="Q32" s="651"/>
      <c r="R32" s="659" t="s">
        <v>506</v>
      </c>
      <c r="S32" s="625" t="s">
        <v>506</v>
      </c>
    </row>
    <row r="33" spans="1:19">
      <c r="A33" s="631"/>
      <c r="B33" s="624">
        <v>31</v>
      </c>
      <c r="C33" s="617" t="s">
        <v>93</v>
      </c>
      <c r="D33" s="741" t="s">
        <v>1545</v>
      </c>
      <c r="E33" s="647"/>
      <c r="F33" s="648"/>
      <c r="G33" s="649"/>
      <c r="H33" s="649"/>
      <c r="I33" s="649"/>
      <c r="J33" s="649"/>
      <c r="K33" s="649"/>
      <c r="L33" s="649"/>
      <c r="M33" s="650">
        <v>11</v>
      </c>
      <c r="N33" s="624"/>
      <c r="O33" s="624"/>
      <c r="P33" s="632"/>
      <c r="R33" s="652">
        <v>11</v>
      </c>
      <c r="S33" s="624" t="s">
        <v>584</v>
      </c>
    </row>
    <row r="34" spans="1:19">
      <c r="A34" s="631"/>
      <c r="B34" s="624">
        <v>32</v>
      </c>
      <c r="C34" s="617" t="s">
        <v>94</v>
      </c>
      <c r="D34" s="741" t="s">
        <v>1515</v>
      </c>
      <c r="E34" s="647"/>
      <c r="F34" s="648"/>
      <c r="G34" s="649"/>
      <c r="H34" s="649"/>
      <c r="I34" s="649"/>
      <c r="J34" s="649"/>
      <c r="K34" s="649"/>
      <c r="L34" s="649"/>
      <c r="M34" s="650">
        <v>18</v>
      </c>
      <c r="N34" s="624"/>
      <c r="O34" s="624"/>
      <c r="P34" s="632"/>
      <c r="R34" s="652">
        <v>18</v>
      </c>
      <c r="S34" s="624" t="s">
        <v>584</v>
      </c>
    </row>
    <row r="35" spans="1:19">
      <c r="A35" s="631"/>
      <c r="B35" s="624">
        <v>33</v>
      </c>
      <c r="C35" s="617" t="s">
        <v>95</v>
      </c>
      <c r="D35" s="741" t="s">
        <v>1510</v>
      </c>
      <c r="E35" s="647"/>
      <c r="F35" s="648"/>
      <c r="G35" s="649">
        <v>15</v>
      </c>
      <c r="H35" s="649">
        <v>15</v>
      </c>
      <c r="I35" s="649"/>
      <c r="J35" s="649">
        <v>100</v>
      </c>
      <c r="K35" s="649"/>
      <c r="L35" s="649"/>
      <c r="M35" s="650">
        <v>91</v>
      </c>
      <c r="N35" s="624"/>
      <c r="O35" s="624"/>
      <c r="P35" s="632"/>
      <c r="R35" s="652">
        <v>15</v>
      </c>
      <c r="S35" s="624" t="s">
        <v>587</v>
      </c>
    </row>
    <row r="36" spans="1:19">
      <c r="A36" s="631"/>
      <c r="B36" s="624">
        <v>34</v>
      </c>
      <c r="C36" s="617" t="s">
        <v>96</v>
      </c>
      <c r="D36" s="741" t="s">
        <v>1518</v>
      </c>
      <c r="E36" s="658"/>
      <c r="F36" s="648"/>
      <c r="G36" s="649"/>
      <c r="H36" s="649"/>
      <c r="I36" s="649"/>
      <c r="J36" s="649">
        <v>100</v>
      </c>
      <c r="K36" s="649"/>
      <c r="L36" s="649"/>
      <c r="M36" s="624"/>
      <c r="N36" s="624"/>
      <c r="O36" s="624"/>
      <c r="P36" s="632"/>
      <c r="R36" s="659"/>
      <c r="S36" s="625"/>
    </row>
    <row r="37" spans="1:19">
      <c r="A37" s="631"/>
      <c r="B37" s="624">
        <v>35</v>
      </c>
      <c r="C37" s="617" t="s">
        <v>97</v>
      </c>
      <c r="D37" s="741" t="s">
        <v>1522</v>
      </c>
      <c r="E37" s="658"/>
      <c r="F37" s="648"/>
      <c r="G37" s="649"/>
      <c r="H37" s="649"/>
      <c r="I37" s="649"/>
      <c r="J37" s="649">
        <v>100</v>
      </c>
      <c r="K37" s="649"/>
      <c r="L37" s="649"/>
      <c r="M37" s="624"/>
      <c r="N37" s="624"/>
      <c r="O37" s="624"/>
      <c r="P37" s="632"/>
      <c r="R37" s="659"/>
      <c r="S37" s="625"/>
    </row>
    <row r="38" spans="1:19">
      <c r="A38" s="631"/>
      <c r="B38" s="624">
        <v>36</v>
      </c>
      <c r="C38" s="617" t="s">
        <v>98</v>
      </c>
      <c r="D38" s="741" t="s">
        <v>1499</v>
      </c>
      <c r="E38" s="647"/>
      <c r="F38" s="648"/>
      <c r="G38" s="649">
        <v>9</v>
      </c>
      <c r="H38" s="649">
        <v>9</v>
      </c>
      <c r="I38" s="649"/>
      <c r="J38" s="649">
        <v>30</v>
      </c>
      <c r="K38" s="649"/>
      <c r="L38" s="649"/>
      <c r="M38" s="650">
        <v>46</v>
      </c>
      <c r="N38" s="624"/>
      <c r="O38" s="624"/>
      <c r="P38" s="632"/>
      <c r="R38" s="652">
        <v>9</v>
      </c>
      <c r="S38" s="624" t="s">
        <v>587</v>
      </c>
    </row>
    <row r="39" spans="1:19">
      <c r="A39" s="631"/>
      <c r="B39" s="624">
        <v>37</v>
      </c>
      <c r="C39" s="617" t="s">
        <v>99</v>
      </c>
      <c r="D39" s="741" t="s">
        <v>1505</v>
      </c>
      <c r="E39" s="658"/>
      <c r="F39" s="648"/>
      <c r="G39" s="649"/>
      <c r="H39" s="649"/>
      <c r="I39" s="649"/>
      <c r="J39" s="649">
        <v>30</v>
      </c>
      <c r="K39" s="649"/>
      <c r="L39" s="649"/>
      <c r="M39" s="624"/>
      <c r="N39" s="624"/>
      <c r="O39" s="624"/>
      <c r="P39" s="632"/>
      <c r="R39" s="659"/>
      <c r="S39" s="625"/>
    </row>
    <row r="40" spans="1:19">
      <c r="A40" s="631"/>
      <c r="B40" s="624">
        <v>38</v>
      </c>
      <c r="C40" s="617" t="s">
        <v>100</v>
      </c>
      <c r="D40" s="741" t="s">
        <v>1514</v>
      </c>
      <c r="E40" s="658"/>
      <c r="F40" s="648"/>
      <c r="G40" s="649"/>
      <c r="H40" s="649"/>
      <c r="I40" s="649"/>
      <c r="J40" s="649">
        <v>30</v>
      </c>
      <c r="K40" s="649"/>
      <c r="L40" s="649"/>
      <c r="M40" s="624"/>
      <c r="N40" s="624"/>
      <c r="O40" s="624"/>
      <c r="P40" s="632"/>
      <c r="R40" s="659"/>
      <c r="S40" s="625"/>
    </row>
    <row r="41" spans="1:19">
      <c r="A41" s="631"/>
      <c r="B41" s="624">
        <v>39</v>
      </c>
      <c r="C41" s="617" t="s">
        <v>101</v>
      </c>
      <c r="D41" s="741" t="s">
        <v>1516</v>
      </c>
      <c r="E41" s="658"/>
      <c r="F41" s="648"/>
      <c r="G41" s="649"/>
      <c r="H41" s="649"/>
      <c r="I41" s="649"/>
      <c r="J41" s="649">
        <v>30</v>
      </c>
      <c r="K41" s="649"/>
      <c r="L41" s="649"/>
      <c r="M41" s="624"/>
      <c r="N41" s="624"/>
      <c r="O41" s="624"/>
      <c r="P41" s="632"/>
      <c r="R41" s="659"/>
      <c r="S41" s="625"/>
    </row>
    <row r="42" spans="1:19">
      <c r="A42" s="631"/>
      <c r="B42" s="624">
        <v>40</v>
      </c>
      <c r="C42" s="617" t="s">
        <v>102</v>
      </c>
      <c r="D42" s="741" t="s">
        <v>1490</v>
      </c>
      <c r="E42" s="658"/>
      <c r="F42" s="648"/>
      <c r="G42" s="649"/>
      <c r="H42" s="649"/>
      <c r="I42" s="649"/>
      <c r="J42" s="649">
        <v>10</v>
      </c>
      <c r="K42" s="649"/>
      <c r="L42" s="649"/>
      <c r="M42" s="624"/>
      <c r="N42" s="624"/>
      <c r="O42" s="624"/>
      <c r="P42" s="632"/>
      <c r="R42" s="659"/>
      <c r="S42" s="625"/>
    </row>
    <row r="43" spans="1:19">
      <c r="A43" s="631"/>
      <c r="B43" s="624">
        <v>41</v>
      </c>
      <c r="C43" s="617" t="s">
        <v>103</v>
      </c>
      <c r="D43" s="741" t="s">
        <v>1491</v>
      </c>
      <c r="E43" s="658"/>
      <c r="F43" s="648"/>
      <c r="G43" s="649"/>
      <c r="H43" s="649"/>
      <c r="I43" s="649"/>
      <c r="J43" s="649">
        <v>10</v>
      </c>
      <c r="K43" s="649"/>
      <c r="L43" s="649"/>
      <c r="M43" s="624"/>
      <c r="N43" s="624"/>
      <c r="O43" s="624"/>
      <c r="P43" s="632"/>
      <c r="R43" s="659"/>
      <c r="S43" s="625"/>
    </row>
    <row r="44" spans="1:19">
      <c r="A44" s="631"/>
      <c r="B44" s="624">
        <v>42</v>
      </c>
      <c r="C44" s="617" t="s">
        <v>104</v>
      </c>
      <c r="D44" s="741" t="s">
        <v>1495</v>
      </c>
      <c r="E44" s="647"/>
      <c r="F44" s="648"/>
      <c r="G44" s="649">
        <v>300</v>
      </c>
      <c r="H44" s="649">
        <v>300</v>
      </c>
      <c r="I44" s="649"/>
      <c r="J44" s="649">
        <v>10</v>
      </c>
      <c r="K44" s="649"/>
      <c r="L44" s="649"/>
      <c r="M44" s="650">
        <v>1200</v>
      </c>
      <c r="N44" s="624"/>
      <c r="O44" s="624"/>
      <c r="P44" s="632"/>
      <c r="R44" s="652">
        <v>300</v>
      </c>
      <c r="S44" s="624" t="s">
        <v>587</v>
      </c>
    </row>
    <row r="45" spans="1:19">
      <c r="A45" s="631"/>
      <c r="B45" s="624">
        <v>43</v>
      </c>
      <c r="C45" s="617" t="s">
        <v>105</v>
      </c>
      <c r="D45" s="741" t="s">
        <v>1496</v>
      </c>
      <c r="E45" s="647"/>
      <c r="F45" s="648"/>
      <c r="G45" s="649">
        <v>200</v>
      </c>
      <c r="H45" s="649">
        <v>200</v>
      </c>
      <c r="I45" s="649">
        <v>200</v>
      </c>
      <c r="J45" s="649">
        <v>10</v>
      </c>
      <c r="K45" s="649"/>
      <c r="L45" s="649"/>
      <c r="M45" s="650">
        <v>4.0999999999999996</v>
      </c>
      <c r="N45" s="624"/>
      <c r="O45" s="624"/>
      <c r="P45" s="632"/>
      <c r="R45" s="652">
        <v>200</v>
      </c>
      <c r="S45" s="624" t="s">
        <v>587</v>
      </c>
    </row>
    <row r="46" spans="1:19">
      <c r="A46" s="631"/>
      <c r="B46" s="624">
        <v>44</v>
      </c>
      <c r="C46" s="618" t="s">
        <v>106</v>
      </c>
      <c r="D46" s="741" t="s">
        <v>1513</v>
      </c>
      <c r="E46" s="658"/>
      <c r="F46" s="648"/>
      <c r="G46" s="649"/>
      <c r="H46" s="649"/>
      <c r="I46" s="649"/>
      <c r="J46" s="649">
        <v>10</v>
      </c>
      <c r="K46" s="649"/>
      <c r="L46" s="649"/>
      <c r="M46" s="624"/>
      <c r="N46" s="624"/>
      <c r="O46" s="624"/>
      <c r="P46" s="632"/>
      <c r="R46" s="659"/>
      <c r="S46" s="625"/>
    </row>
    <row r="47" spans="1:19">
      <c r="A47" s="631"/>
      <c r="B47" s="624">
        <v>45</v>
      </c>
      <c r="C47" s="618" t="s">
        <v>107</v>
      </c>
      <c r="D47" s="741" t="s">
        <v>1487</v>
      </c>
      <c r="E47" s="658"/>
      <c r="F47" s="648"/>
      <c r="G47" s="649"/>
      <c r="H47" s="649"/>
      <c r="I47" s="649"/>
      <c r="J47" s="649">
        <v>10</v>
      </c>
      <c r="K47" s="649"/>
      <c r="L47" s="649"/>
      <c r="M47" s="624"/>
      <c r="N47" s="624"/>
      <c r="O47" s="624"/>
      <c r="P47" s="632"/>
      <c r="R47" s="659"/>
      <c r="S47" s="625"/>
    </row>
    <row r="48" spans="1:19">
      <c r="A48" s="631"/>
      <c r="B48" s="624">
        <v>46</v>
      </c>
      <c r="C48" s="617" t="s">
        <v>108</v>
      </c>
      <c r="D48" s="741" t="s">
        <v>1488</v>
      </c>
      <c r="E48" s="647"/>
      <c r="F48" s="648"/>
      <c r="G48" s="649">
        <v>90</v>
      </c>
      <c r="H48" s="649">
        <v>90</v>
      </c>
      <c r="I48" s="649"/>
      <c r="J48" s="649">
        <v>10</v>
      </c>
      <c r="K48" s="649"/>
      <c r="L48" s="649"/>
      <c r="M48" s="650">
        <v>240</v>
      </c>
      <c r="N48" s="624"/>
      <c r="O48" s="624"/>
      <c r="P48" s="632"/>
      <c r="R48" s="652">
        <v>90</v>
      </c>
      <c r="S48" s="624" t="s">
        <v>587</v>
      </c>
    </row>
    <row r="49" spans="1:19">
      <c r="A49" s="631"/>
      <c r="B49" s="624">
        <v>47</v>
      </c>
      <c r="C49" s="617" t="s">
        <v>341</v>
      </c>
      <c r="D49" s="741" t="s">
        <v>1489</v>
      </c>
      <c r="E49" s="658"/>
      <c r="F49" s="660"/>
      <c r="G49" s="639"/>
      <c r="H49" s="639"/>
      <c r="I49" s="639"/>
      <c r="J49" s="625">
        <v>10</v>
      </c>
      <c r="K49" s="639"/>
      <c r="L49" s="639"/>
      <c r="M49" s="639"/>
      <c r="N49" s="639"/>
      <c r="O49" s="639"/>
      <c r="P49" s="661"/>
      <c r="Q49" s="662"/>
      <c r="R49" s="659"/>
      <c r="S49" s="625"/>
    </row>
    <row r="50" spans="1:19">
      <c r="A50" s="631"/>
      <c r="B50" s="624">
        <v>48</v>
      </c>
      <c r="C50" s="617" t="s">
        <v>67</v>
      </c>
      <c r="D50" s="741" t="s">
        <v>1613</v>
      </c>
      <c r="E50" s="653"/>
      <c r="F50" s="660"/>
      <c r="G50" s="639"/>
      <c r="H50" s="639"/>
      <c r="I50" s="639"/>
      <c r="J50" s="639"/>
      <c r="K50" s="639"/>
      <c r="L50" s="639"/>
      <c r="M50" s="650">
        <v>21000</v>
      </c>
      <c r="N50" s="639"/>
      <c r="O50" s="624"/>
      <c r="P50" s="632"/>
      <c r="R50" s="659">
        <v>21000</v>
      </c>
      <c r="S50" s="625" t="s">
        <v>584</v>
      </c>
    </row>
    <row r="51" spans="1:19">
      <c r="A51" s="631"/>
      <c r="B51" s="624">
        <v>49</v>
      </c>
      <c r="C51" s="617" t="s">
        <v>69</v>
      </c>
      <c r="D51" s="741" t="s">
        <v>1624</v>
      </c>
      <c r="E51" s="647"/>
      <c r="F51" s="648"/>
      <c r="G51" s="649"/>
      <c r="H51" s="649"/>
      <c r="I51" s="649"/>
      <c r="J51" s="649"/>
      <c r="K51" s="649"/>
      <c r="L51" s="649"/>
      <c r="M51" s="650">
        <v>450</v>
      </c>
      <c r="N51" s="624"/>
      <c r="O51" s="624"/>
      <c r="P51" s="632"/>
      <c r="R51" s="652">
        <v>450</v>
      </c>
      <c r="S51" s="624" t="s">
        <v>584</v>
      </c>
    </row>
    <row r="52" spans="1:19">
      <c r="A52" s="631"/>
      <c r="B52" s="624">
        <v>50</v>
      </c>
      <c r="C52" s="617" t="s">
        <v>185</v>
      </c>
      <c r="D52" s="741" t="s">
        <v>1533</v>
      </c>
      <c r="E52" s="647"/>
      <c r="F52" s="648"/>
      <c r="G52" s="649"/>
      <c r="H52" s="649"/>
      <c r="I52" s="649"/>
      <c r="J52" s="649"/>
      <c r="K52" s="649"/>
      <c r="L52" s="649"/>
      <c r="M52" s="650"/>
      <c r="N52" s="624"/>
      <c r="O52" s="624">
        <v>7.0000000000000007E-2</v>
      </c>
      <c r="P52" s="632">
        <v>210.00000000000003</v>
      </c>
      <c r="R52" s="652">
        <v>210.00000000000003</v>
      </c>
      <c r="S52" s="624" t="s">
        <v>585</v>
      </c>
    </row>
    <row r="53" spans="1:19">
      <c r="A53" s="631"/>
      <c r="B53" s="624">
        <v>51</v>
      </c>
      <c r="C53" s="617" t="s">
        <v>187</v>
      </c>
      <c r="D53" s="741" t="s">
        <v>1547</v>
      </c>
      <c r="E53" s="647"/>
      <c r="F53" s="648"/>
      <c r="G53" s="649"/>
      <c r="H53" s="649"/>
      <c r="I53" s="649"/>
      <c r="J53" s="649"/>
      <c r="K53" s="649"/>
      <c r="L53" s="649"/>
      <c r="M53" s="650"/>
      <c r="N53" s="624"/>
      <c r="O53" s="624">
        <v>4.0000000000000001E-3</v>
      </c>
      <c r="P53" s="632">
        <v>12</v>
      </c>
      <c r="R53" s="652">
        <v>12</v>
      </c>
      <c r="S53" s="624" t="s">
        <v>585</v>
      </c>
    </row>
    <row r="54" spans="1:19">
      <c r="A54" s="631"/>
      <c r="B54" s="624">
        <v>52</v>
      </c>
      <c r="C54" s="617" t="s">
        <v>74</v>
      </c>
      <c r="D54" s="741" t="s">
        <v>1468</v>
      </c>
      <c r="E54" s="647"/>
      <c r="F54" s="648"/>
      <c r="G54" s="649"/>
      <c r="H54" s="649"/>
      <c r="I54" s="649"/>
      <c r="J54" s="649">
        <v>10</v>
      </c>
      <c r="K54" s="649">
        <v>7</v>
      </c>
      <c r="L54" s="649"/>
      <c r="M54" s="650">
        <v>280</v>
      </c>
      <c r="N54" s="624"/>
      <c r="O54" s="624"/>
      <c r="P54" s="632"/>
      <c r="R54" s="652">
        <v>10</v>
      </c>
      <c r="S54" s="624" t="s">
        <v>583</v>
      </c>
    </row>
    <row r="55" spans="1:19">
      <c r="A55" s="631"/>
      <c r="B55" s="624">
        <v>53</v>
      </c>
      <c r="C55" s="617" t="s">
        <v>64</v>
      </c>
      <c r="D55" s="741" t="s">
        <v>1602</v>
      </c>
      <c r="E55" s="647"/>
      <c r="F55" s="648"/>
      <c r="G55" s="649"/>
      <c r="H55" s="649"/>
      <c r="I55" s="649">
        <v>100</v>
      </c>
      <c r="J55" s="649">
        <v>630</v>
      </c>
      <c r="K55" s="649"/>
      <c r="L55" s="649"/>
      <c r="M55" s="650">
        <v>3.3</v>
      </c>
      <c r="N55" s="624"/>
      <c r="O55" s="624"/>
      <c r="P55" s="632"/>
      <c r="R55" s="652">
        <v>100</v>
      </c>
      <c r="S55" s="624" t="s">
        <v>581</v>
      </c>
    </row>
    <row r="56" spans="1:19">
      <c r="A56" s="631"/>
      <c r="B56" s="624">
        <v>54</v>
      </c>
      <c r="C56" s="617" t="s">
        <v>70</v>
      </c>
      <c r="D56" s="741" t="s">
        <v>1636</v>
      </c>
      <c r="E56" s="647"/>
      <c r="F56" s="648"/>
      <c r="G56" s="649"/>
      <c r="H56" s="649"/>
      <c r="I56" s="649">
        <v>100</v>
      </c>
      <c r="J56" s="649"/>
      <c r="K56" s="649"/>
      <c r="L56" s="649"/>
      <c r="M56" s="650">
        <v>0.87</v>
      </c>
      <c r="N56" s="624"/>
      <c r="O56" s="624"/>
      <c r="P56" s="632"/>
      <c r="R56" s="652">
        <v>100</v>
      </c>
      <c r="S56" s="624" t="s">
        <v>581</v>
      </c>
    </row>
    <row r="57" spans="1:19">
      <c r="A57" s="631"/>
      <c r="B57" s="624">
        <v>55</v>
      </c>
      <c r="C57" s="617" t="s">
        <v>111</v>
      </c>
      <c r="D57" s="741" t="s">
        <v>1627</v>
      </c>
      <c r="E57" s="647"/>
      <c r="F57" s="648"/>
      <c r="G57" s="649"/>
      <c r="H57" s="649"/>
      <c r="I57" s="649">
        <v>8</v>
      </c>
      <c r="J57" s="649">
        <v>5</v>
      </c>
      <c r="K57" s="649">
        <v>6</v>
      </c>
      <c r="L57" s="649"/>
      <c r="M57" s="650">
        <v>5.6</v>
      </c>
      <c r="N57" s="624"/>
      <c r="O57" s="624"/>
      <c r="P57" s="632"/>
      <c r="R57" s="652">
        <v>8</v>
      </c>
      <c r="S57" s="624" t="s">
        <v>581</v>
      </c>
    </row>
    <row r="58" spans="1:19">
      <c r="A58" s="631"/>
      <c r="B58" s="624">
        <v>56</v>
      </c>
      <c r="C58" s="618" t="s">
        <v>342</v>
      </c>
      <c r="D58" s="741" t="s">
        <v>1537</v>
      </c>
      <c r="E58" s="658"/>
      <c r="F58" s="648"/>
      <c r="G58" s="649"/>
      <c r="H58" s="649"/>
      <c r="I58" s="649"/>
      <c r="J58" s="649"/>
      <c r="K58" s="649"/>
      <c r="L58" s="649"/>
      <c r="M58" s="624"/>
      <c r="N58" s="624"/>
      <c r="O58" s="624"/>
      <c r="P58" s="632"/>
      <c r="R58" s="659" t="s">
        <v>506</v>
      </c>
      <c r="S58" s="625" t="s">
        <v>506</v>
      </c>
    </row>
    <row r="59" spans="1:19">
      <c r="A59" s="631"/>
      <c r="B59" s="624">
        <v>57</v>
      </c>
      <c r="C59" s="617" t="s">
        <v>184</v>
      </c>
      <c r="D59" s="741" t="s">
        <v>1595</v>
      </c>
      <c r="E59" s="647"/>
      <c r="F59" s="648"/>
      <c r="G59" s="649"/>
      <c r="H59" s="649"/>
      <c r="I59" s="649"/>
      <c r="J59" s="649"/>
      <c r="K59" s="649"/>
      <c r="L59" s="649"/>
      <c r="M59" s="650">
        <v>0.83</v>
      </c>
      <c r="N59" s="624"/>
      <c r="O59" s="624"/>
      <c r="P59" s="632"/>
      <c r="R59" s="652">
        <v>0.83</v>
      </c>
      <c r="S59" s="624" t="s">
        <v>584</v>
      </c>
    </row>
    <row r="60" spans="1:19">
      <c r="A60" s="631"/>
      <c r="B60" s="624">
        <v>58</v>
      </c>
      <c r="C60" s="617" t="s">
        <v>63</v>
      </c>
      <c r="D60" s="741" t="s">
        <v>1601</v>
      </c>
      <c r="E60" s="647"/>
      <c r="F60" s="648"/>
      <c r="G60" s="649"/>
      <c r="H60" s="649"/>
      <c r="I60" s="649">
        <v>60</v>
      </c>
      <c r="J60" s="649"/>
      <c r="K60" s="649"/>
      <c r="L60" s="649"/>
      <c r="M60" s="650">
        <v>0.13</v>
      </c>
      <c r="N60" s="624"/>
      <c r="O60" s="624"/>
      <c r="P60" s="632"/>
      <c r="R60" s="652">
        <v>60</v>
      </c>
      <c r="S60" s="624" t="s">
        <v>581</v>
      </c>
    </row>
    <row r="61" spans="1:19">
      <c r="A61" s="631"/>
      <c r="B61" s="624">
        <v>59</v>
      </c>
      <c r="C61" s="617" t="s">
        <v>212</v>
      </c>
      <c r="D61" s="741" t="s">
        <v>1583</v>
      </c>
      <c r="E61" s="647"/>
      <c r="F61" s="648"/>
      <c r="G61" s="649"/>
      <c r="H61" s="649"/>
      <c r="I61" s="649"/>
      <c r="J61" s="649"/>
      <c r="K61" s="649"/>
      <c r="L61" s="649"/>
      <c r="M61" s="650">
        <v>94</v>
      </c>
      <c r="N61" s="624">
        <v>40</v>
      </c>
      <c r="O61" s="624">
        <v>5.0000000000000001E-3</v>
      </c>
      <c r="P61" s="632">
        <v>30</v>
      </c>
      <c r="R61" s="652">
        <v>94</v>
      </c>
      <c r="S61" s="624" t="s">
        <v>584</v>
      </c>
    </row>
    <row r="62" spans="1:19">
      <c r="A62" s="631"/>
      <c r="B62" s="624">
        <v>60</v>
      </c>
      <c r="C62" s="617" t="s">
        <v>213</v>
      </c>
      <c r="D62" s="741" t="s">
        <v>1597</v>
      </c>
      <c r="E62" s="647"/>
      <c r="F62" s="648">
        <v>1000</v>
      </c>
      <c r="G62" s="649"/>
      <c r="H62" s="649"/>
      <c r="I62" s="649">
        <v>2400</v>
      </c>
      <c r="J62" s="649"/>
      <c r="K62" s="649"/>
      <c r="L62" s="649"/>
      <c r="M62" s="650">
        <v>4000</v>
      </c>
      <c r="N62" s="624"/>
      <c r="O62" s="624">
        <v>1.7500000000000002E-2</v>
      </c>
      <c r="P62" s="632">
        <v>105.00000000000001</v>
      </c>
      <c r="R62" s="652">
        <v>1000</v>
      </c>
      <c r="S62" s="624" t="s">
        <v>580</v>
      </c>
    </row>
    <row r="63" spans="1:19">
      <c r="A63" s="631"/>
      <c r="B63" s="624">
        <v>61</v>
      </c>
      <c r="C63" s="617" t="s">
        <v>214</v>
      </c>
      <c r="D63" s="741" t="s">
        <v>1770</v>
      </c>
      <c r="E63" s="647"/>
      <c r="F63" s="648"/>
      <c r="G63" s="649"/>
      <c r="H63" s="649"/>
      <c r="I63" s="649"/>
      <c r="J63" s="649"/>
      <c r="K63" s="649"/>
      <c r="L63" s="649"/>
      <c r="M63" s="650">
        <v>12000</v>
      </c>
      <c r="N63" s="624"/>
      <c r="O63" s="624">
        <v>0.6</v>
      </c>
      <c r="P63" s="632">
        <v>3600</v>
      </c>
      <c r="R63" s="652">
        <v>3600</v>
      </c>
      <c r="S63" s="624" t="s">
        <v>585</v>
      </c>
    </row>
    <row r="64" spans="1:19">
      <c r="A64" s="631"/>
      <c r="B64" s="624">
        <v>62</v>
      </c>
      <c r="C64" s="617" t="s">
        <v>347</v>
      </c>
      <c r="D64" s="741" t="s">
        <v>1593</v>
      </c>
      <c r="E64" s="647"/>
      <c r="F64" s="648"/>
      <c r="G64" s="649"/>
      <c r="H64" s="649"/>
      <c r="I64" s="649"/>
      <c r="J64" s="649"/>
      <c r="K64" s="649"/>
      <c r="L64" s="649"/>
      <c r="M64" s="650">
        <v>300</v>
      </c>
      <c r="N64" s="624"/>
      <c r="O64" s="624"/>
      <c r="P64" s="632"/>
      <c r="R64" s="652">
        <v>300</v>
      </c>
      <c r="S64" s="624" t="s">
        <v>584</v>
      </c>
    </row>
    <row r="65" spans="1:19">
      <c r="A65" s="631"/>
      <c r="B65" s="624">
        <v>63</v>
      </c>
      <c r="C65" s="617" t="s">
        <v>58</v>
      </c>
      <c r="D65" s="741" t="s">
        <v>1511</v>
      </c>
      <c r="E65" s="647"/>
      <c r="F65" s="648"/>
      <c r="G65" s="649"/>
      <c r="H65" s="649"/>
      <c r="I65" s="649"/>
      <c r="J65" s="649"/>
      <c r="K65" s="649"/>
      <c r="L65" s="649">
        <v>140</v>
      </c>
      <c r="M65" s="650">
        <v>240</v>
      </c>
      <c r="N65" s="624"/>
      <c r="O65" s="624"/>
      <c r="P65" s="632"/>
      <c r="R65" s="652">
        <v>140</v>
      </c>
      <c r="S65" s="624" t="s">
        <v>586</v>
      </c>
    </row>
    <row r="66" spans="1:19">
      <c r="A66" s="631"/>
      <c r="B66" s="624">
        <v>64</v>
      </c>
      <c r="C66" s="617" t="s">
        <v>62</v>
      </c>
      <c r="D66" s="741" t="s">
        <v>1600</v>
      </c>
      <c r="E66" s="647"/>
      <c r="F66" s="648"/>
      <c r="G66" s="649"/>
      <c r="H66" s="649"/>
      <c r="I66" s="649"/>
      <c r="J66" s="649"/>
      <c r="K66" s="649"/>
      <c r="L66" s="649"/>
      <c r="M66" s="650">
        <v>62</v>
      </c>
      <c r="N66" s="624"/>
      <c r="O66" s="624"/>
      <c r="P66" s="632"/>
      <c r="R66" s="652">
        <v>62</v>
      </c>
      <c r="S66" s="624" t="s">
        <v>584</v>
      </c>
    </row>
    <row r="67" spans="1:19">
      <c r="A67" s="631"/>
      <c r="B67" s="624">
        <v>65</v>
      </c>
      <c r="C67" s="617" t="s">
        <v>82</v>
      </c>
      <c r="D67" s="741" t="s">
        <v>513</v>
      </c>
      <c r="E67" s="647"/>
      <c r="F67" s="648"/>
      <c r="G67" s="649"/>
      <c r="H67" s="649"/>
      <c r="I67" s="649"/>
      <c r="J67" s="649">
        <v>30</v>
      </c>
      <c r="K67" s="649"/>
      <c r="L67" s="649"/>
      <c r="M67" s="650">
        <v>20</v>
      </c>
      <c r="N67" s="624"/>
      <c r="O67" s="624"/>
      <c r="P67" s="632"/>
      <c r="R67" s="652">
        <v>30</v>
      </c>
      <c r="S67" s="624" t="s">
        <v>583</v>
      </c>
    </row>
    <row r="68" spans="1:19">
      <c r="A68" s="631"/>
      <c r="B68" s="624">
        <v>66</v>
      </c>
      <c r="C68" s="617" t="s">
        <v>119</v>
      </c>
      <c r="D68" s="741" t="s">
        <v>1676</v>
      </c>
      <c r="E68" s="647"/>
      <c r="F68" s="648"/>
      <c r="G68" s="649"/>
      <c r="H68" s="649"/>
      <c r="I68" s="649">
        <v>2600</v>
      </c>
      <c r="J68" s="649"/>
      <c r="K68" s="649"/>
      <c r="L68" s="649"/>
      <c r="M68" s="650">
        <v>0.43</v>
      </c>
      <c r="N68" s="624">
        <v>50</v>
      </c>
      <c r="O68" s="624">
        <v>0.2</v>
      </c>
      <c r="P68" s="632">
        <v>1200</v>
      </c>
      <c r="R68" s="652">
        <v>2600</v>
      </c>
      <c r="S68" s="624" t="s">
        <v>2468</v>
      </c>
    </row>
    <row r="69" spans="1:19">
      <c r="A69" s="631"/>
      <c r="B69" s="624">
        <v>67</v>
      </c>
      <c r="C69" s="617" t="s">
        <v>120</v>
      </c>
      <c r="D69" s="741" t="s">
        <v>1560</v>
      </c>
      <c r="E69" s="647"/>
      <c r="F69" s="648"/>
      <c r="G69" s="649"/>
      <c r="H69" s="649"/>
      <c r="I69" s="649"/>
      <c r="J69" s="649"/>
      <c r="K69" s="649"/>
      <c r="L69" s="649"/>
      <c r="M69" s="650">
        <v>2.6</v>
      </c>
      <c r="N69" s="624"/>
      <c r="O69" s="624"/>
      <c r="P69" s="632"/>
      <c r="R69" s="652">
        <v>2.6</v>
      </c>
      <c r="S69" s="624" t="s">
        <v>584</v>
      </c>
    </row>
    <row r="70" spans="1:19" ht="25.15" customHeight="1">
      <c r="A70" s="631"/>
      <c r="B70" s="624">
        <v>68</v>
      </c>
      <c r="C70" s="617" t="s">
        <v>348</v>
      </c>
      <c r="D70" s="741" t="s">
        <v>1647</v>
      </c>
      <c r="E70" s="663"/>
      <c r="F70" s="648"/>
      <c r="G70" s="649"/>
      <c r="H70" s="649"/>
      <c r="I70" s="649"/>
      <c r="J70" s="649"/>
      <c r="K70" s="649"/>
      <c r="L70" s="649"/>
      <c r="M70" s="650">
        <v>61</v>
      </c>
      <c r="N70" s="624"/>
      <c r="O70" s="624"/>
      <c r="P70" s="632"/>
      <c r="R70" s="652">
        <v>61</v>
      </c>
      <c r="S70" s="624" t="s">
        <v>584</v>
      </c>
    </row>
    <row r="71" spans="1:19">
      <c r="A71" s="631"/>
      <c r="B71" s="624">
        <v>69</v>
      </c>
      <c r="C71" s="617" t="s">
        <v>215</v>
      </c>
      <c r="D71" s="741" t="s">
        <v>1581</v>
      </c>
      <c r="E71" s="663"/>
      <c r="F71" s="648"/>
      <c r="G71" s="649"/>
      <c r="H71" s="649"/>
      <c r="I71" s="649"/>
      <c r="J71" s="649"/>
      <c r="K71" s="649"/>
      <c r="L71" s="649"/>
      <c r="M71" s="624"/>
      <c r="N71" s="624"/>
      <c r="O71" s="624"/>
      <c r="P71" s="632"/>
      <c r="R71" s="652"/>
      <c r="S71" s="624"/>
    </row>
    <row r="72" spans="1:19">
      <c r="A72" s="631"/>
      <c r="B72" s="624" t="s">
        <v>343</v>
      </c>
      <c r="C72" s="622" t="s">
        <v>349</v>
      </c>
      <c r="D72" s="741" t="s">
        <v>350</v>
      </c>
      <c r="E72" s="663"/>
      <c r="F72" s="648">
        <v>500</v>
      </c>
      <c r="G72" s="649"/>
      <c r="H72" s="649"/>
      <c r="I72" s="649"/>
      <c r="J72" s="649"/>
      <c r="K72" s="649"/>
      <c r="L72" s="649"/>
      <c r="M72" s="624"/>
      <c r="N72" s="624"/>
      <c r="O72" s="624"/>
      <c r="P72" s="632"/>
      <c r="R72" s="652">
        <v>500</v>
      </c>
      <c r="S72" s="624" t="s">
        <v>580</v>
      </c>
    </row>
    <row r="73" spans="1:19">
      <c r="A73" s="631"/>
      <c r="B73" s="624">
        <v>70</v>
      </c>
      <c r="C73" s="617" t="s">
        <v>217</v>
      </c>
      <c r="D73" s="741" t="s">
        <v>1568</v>
      </c>
      <c r="E73" s="663"/>
      <c r="F73" s="648"/>
      <c r="G73" s="649"/>
      <c r="H73" s="649"/>
      <c r="I73" s="649"/>
      <c r="J73" s="649"/>
      <c r="K73" s="649"/>
      <c r="L73" s="649"/>
      <c r="M73" s="650"/>
      <c r="N73" s="624"/>
      <c r="O73" s="624"/>
      <c r="P73" s="632"/>
      <c r="R73" s="652"/>
      <c r="S73" s="624"/>
    </row>
    <row r="74" spans="1:19">
      <c r="A74" s="631"/>
      <c r="B74" s="624" t="s">
        <v>517</v>
      </c>
      <c r="C74" s="622" t="s">
        <v>351</v>
      </c>
      <c r="D74" s="741" t="s">
        <v>1675</v>
      </c>
      <c r="E74" s="663"/>
      <c r="F74" s="648">
        <v>1500</v>
      </c>
      <c r="G74" s="649"/>
      <c r="H74" s="649"/>
      <c r="I74" s="649">
        <v>1500</v>
      </c>
      <c r="J74" s="649"/>
      <c r="K74" s="649">
        <v>4000</v>
      </c>
      <c r="L74" s="649"/>
      <c r="M74" s="650">
        <v>28</v>
      </c>
      <c r="N74" s="624"/>
      <c r="O74" s="624"/>
      <c r="P74" s="632"/>
      <c r="R74" s="652">
        <v>1500</v>
      </c>
      <c r="S74" s="624" t="s">
        <v>580</v>
      </c>
    </row>
    <row r="75" spans="1:19">
      <c r="A75" s="631"/>
      <c r="B75" s="624">
        <v>71</v>
      </c>
      <c r="C75" s="617" t="s">
        <v>220</v>
      </c>
      <c r="D75" s="741" t="s">
        <v>1566</v>
      </c>
      <c r="E75" s="663"/>
      <c r="F75" s="648"/>
      <c r="G75" s="649"/>
      <c r="H75" s="649"/>
      <c r="I75" s="649"/>
      <c r="J75" s="649"/>
      <c r="K75" s="649"/>
      <c r="L75" s="649"/>
      <c r="M75" s="624"/>
      <c r="N75" s="624"/>
      <c r="O75" s="624"/>
      <c r="P75" s="632"/>
      <c r="R75" s="652"/>
      <c r="S75" s="624"/>
    </row>
    <row r="76" spans="1:19">
      <c r="A76" s="631"/>
      <c r="B76" s="624" t="s">
        <v>520</v>
      </c>
      <c r="C76" s="622" t="s">
        <v>352</v>
      </c>
      <c r="D76" s="741" t="s">
        <v>1619</v>
      </c>
      <c r="E76" s="663"/>
      <c r="F76" s="648">
        <v>150000</v>
      </c>
      <c r="G76" s="649"/>
      <c r="H76" s="649"/>
      <c r="I76" s="649" t="s">
        <v>590</v>
      </c>
      <c r="J76" s="649"/>
      <c r="K76" s="649"/>
      <c r="L76" s="649"/>
      <c r="M76" s="624"/>
      <c r="N76" s="624"/>
      <c r="O76" s="624"/>
      <c r="P76" s="632"/>
      <c r="R76" s="652">
        <v>150000</v>
      </c>
      <c r="S76" s="624" t="s">
        <v>580</v>
      </c>
    </row>
    <row r="77" spans="1:19">
      <c r="A77" s="631"/>
      <c r="B77" s="624">
        <v>72</v>
      </c>
      <c r="C77" s="617" t="s">
        <v>222</v>
      </c>
      <c r="D77" s="741" t="s">
        <v>1576</v>
      </c>
      <c r="E77" s="663"/>
      <c r="F77" s="648"/>
      <c r="G77" s="649"/>
      <c r="H77" s="649"/>
      <c r="I77" s="649"/>
      <c r="J77" s="649"/>
      <c r="K77" s="649"/>
      <c r="L77" s="649"/>
      <c r="M77" s="624"/>
      <c r="N77" s="624"/>
      <c r="O77" s="624"/>
      <c r="P77" s="632"/>
      <c r="R77" s="652"/>
      <c r="S77" s="624"/>
    </row>
    <row r="78" spans="1:19">
      <c r="A78" s="631"/>
      <c r="B78" s="624" t="s">
        <v>523</v>
      </c>
      <c r="C78" s="622" t="s">
        <v>353</v>
      </c>
      <c r="D78" s="630" t="s">
        <v>449</v>
      </c>
      <c r="E78" s="663"/>
      <c r="F78" s="648">
        <v>250000</v>
      </c>
      <c r="G78" s="649"/>
      <c r="H78" s="649"/>
      <c r="I78" s="649"/>
      <c r="J78" s="649"/>
      <c r="K78" s="649"/>
      <c r="L78" s="649"/>
      <c r="M78" s="624"/>
      <c r="N78" s="624"/>
      <c r="O78" s="624"/>
      <c r="P78" s="632"/>
      <c r="R78" s="652">
        <v>250000</v>
      </c>
      <c r="S78" s="624" t="s">
        <v>580</v>
      </c>
    </row>
    <row r="79" spans="1:19">
      <c r="A79" s="631"/>
      <c r="B79" s="624">
        <v>73</v>
      </c>
      <c r="C79" s="617" t="s">
        <v>223</v>
      </c>
      <c r="D79" s="741" t="s">
        <v>1570</v>
      </c>
      <c r="E79" s="664"/>
      <c r="F79" s="648"/>
      <c r="G79" s="649"/>
      <c r="H79" s="649"/>
      <c r="I79" s="649"/>
      <c r="J79" s="649"/>
      <c r="K79" s="649"/>
      <c r="L79" s="649"/>
      <c r="M79" s="624"/>
      <c r="N79" s="624"/>
      <c r="O79" s="624"/>
      <c r="P79" s="632"/>
      <c r="R79" s="659"/>
      <c r="S79" s="625"/>
    </row>
    <row r="80" spans="1:19">
      <c r="A80" s="631"/>
      <c r="B80" s="624">
        <v>74</v>
      </c>
      <c r="C80" s="617" t="s">
        <v>354</v>
      </c>
      <c r="D80" s="741" t="s">
        <v>1718</v>
      </c>
      <c r="E80" s="663"/>
      <c r="F80" s="648">
        <v>50000</v>
      </c>
      <c r="G80" s="649"/>
      <c r="H80" s="649">
        <v>50000</v>
      </c>
      <c r="I80" s="649">
        <v>50000</v>
      </c>
      <c r="J80" s="649"/>
      <c r="K80" s="649">
        <v>10000</v>
      </c>
      <c r="L80" s="649"/>
      <c r="M80" s="650">
        <v>32000</v>
      </c>
      <c r="N80" s="624"/>
      <c r="O80" s="624"/>
      <c r="P80" s="632"/>
      <c r="R80" s="652">
        <v>50000</v>
      </c>
      <c r="S80" s="624" t="s">
        <v>580</v>
      </c>
    </row>
    <row r="81" spans="1:19">
      <c r="A81" s="631"/>
      <c r="B81" s="624">
        <v>75</v>
      </c>
      <c r="C81" s="617" t="s">
        <v>355</v>
      </c>
      <c r="D81" s="741" t="s">
        <v>1719</v>
      </c>
      <c r="E81" s="663"/>
      <c r="F81" s="648">
        <v>100</v>
      </c>
      <c r="G81" s="649"/>
      <c r="H81" s="649"/>
      <c r="I81" s="649">
        <v>3000</v>
      </c>
      <c r="J81" s="649"/>
      <c r="K81" s="649">
        <v>1000</v>
      </c>
      <c r="L81" s="649"/>
      <c r="M81" s="650">
        <v>2000</v>
      </c>
      <c r="N81" s="624"/>
      <c r="O81" s="624"/>
      <c r="P81" s="632"/>
      <c r="R81" s="659">
        <v>100</v>
      </c>
      <c r="S81" s="624" t="s">
        <v>580</v>
      </c>
    </row>
    <row r="82" spans="1:19">
      <c r="A82" s="631"/>
      <c r="B82" s="624">
        <v>76</v>
      </c>
      <c r="C82" s="628" t="s">
        <v>79</v>
      </c>
      <c r="D82" s="741" t="s">
        <v>1548</v>
      </c>
      <c r="E82" s="663"/>
      <c r="F82" s="648"/>
      <c r="G82" s="649"/>
      <c r="H82" s="649"/>
      <c r="I82" s="649"/>
      <c r="J82" s="649"/>
      <c r="K82" s="649"/>
      <c r="L82" s="649"/>
      <c r="M82" s="650">
        <v>410</v>
      </c>
      <c r="N82" s="624">
        <v>31000</v>
      </c>
      <c r="O82" s="624"/>
      <c r="P82" s="632"/>
      <c r="R82" s="652">
        <v>410</v>
      </c>
      <c r="S82" s="624" t="s">
        <v>584</v>
      </c>
    </row>
    <row r="83" spans="1:19">
      <c r="A83" s="631"/>
      <c r="B83" s="624">
        <v>77</v>
      </c>
      <c r="C83" s="617" t="s">
        <v>80</v>
      </c>
      <c r="D83" s="741" t="s">
        <v>1705</v>
      </c>
      <c r="E83" s="663"/>
      <c r="F83" s="648"/>
      <c r="G83" s="649"/>
      <c r="H83" s="649"/>
      <c r="I83" s="649"/>
      <c r="J83" s="649"/>
      <c r="K83" s="649"/>
      <c r="L83" s="649"/>
      <c r="M83" s="650">
        <v>20000</v>
      </c>
      <c r="N83" s="624">
        <v>24000</v>
      </c>
      <c r="O83" s="624"/>
      <c r="P83" s="632"/>
      <c r="R83" s="652">
        <v>20000</v>
      </c>
      <c r="S83" s="624" t="s">
        <v>584</v>
      </c>
    </row>
    <row r="84" spans="1:19">
      <c r="A84" s="631"/>
      <c r="B84" s="624">
        <v>78</v>
      </c>
      <c r="C84" s="617" t="s">
        <v>57</v>
      </c>
      <c r="D84" s="741" t="s">
        <v>1546</v>
      </c>
      <c r="E84" s="663"/>
      <c r="F84" s="648"/>
      <c r="G84" s="649"/>
      <c r="H84" s="649"/>
      <c r="I84" s="649"/>
      <c r="J84" s="649"/>
      <c r="K84" s="649"/>
      <c r="L84" s="649"/>
      <c r="M84" s="650">
        <v>5600</v>
      </c>
      <c r="N84" s="624">
        <v>6000</v>
      </c>
      <c r="O84" s="624"/>
      <c r="P84" s="632"/>
      <c r="R84" s="652">
        <v>5600</v>
      </c>
      <c r="S84" s="624" t="s">
        <v>584</v>
      </c>
    </row>
    <row r="85" spans="1:19">
      <c r="A85" s="631"/>
      <c r="B85" s="624">
        <v>79</v>
      </c>
      <c r="C85" s="617" t="s">
        <v>60</v>
      </c>
      <c r="D85" s="741" t="s">
        <v>1562</v>
      </c>
      <c r="E85" s="663"/>
      <c r="F85" s="648"/>
      <c r="G85" s="649"/>
      <c r="H85" s="649"/>
      <c r="I85" s="649"/>
      <c r="J85" s="649"/>
      <c r="K85" s="649"/>
      <c r="L85" s="649"/>
      <c r="M85" s="650">
        <v>14000</v>
      </c>
      <c r="N85" s="624"/>
      <c r="O85" s="624"/>
      <c r="P85" s="632"/>
      <c r="R85" s="652">
        <v>14000</v>
      </c>
      <c r="S85" s="624" t="s">
        <v>584</v>
      </c>
    </row>
    <row r="86" spans="1:19">
      <c r="A86" s="631"/>
      <c r="B86" s="624">
        <v>80</v>
      </c>
      <c r="C86" s="622" t="s">
        <v>188</v>
      </c>
      <c r="D86" s="741" t="s">
        <v>1758</v>
      </c>
      <c r="E86" s="663"/>
      <c r="F86" s="648"/>
      <c r="G86" s="649"/>
      <c r="H86" s="649"/>
      <c r="I86" s="649"/>
      <c r="J86" s="649"/>
      <c r="K86" s="649"/>
      <c r="L86" s="649"/>
      <c r="M86" s="650">
        <v>0.7</v>
      </c>
      <c r="N86" s="624"/>
      <c r="O86" s="624"/>
      <c r="P86" s="632"/>
      <c r="R86" s="652">
        <v>0.7</v>
      </c>
      <c r="S86" s="624" t="s">
        <v>584</v>
      </c>
    </row>
    <row r="87" spans="1:19">
      <c r="A87" s="631"/>
      <c r="B87" s="624">
        <v>81</v>
      </c>
      <c r="C87" s="628" t="s">
        <v>190</v>
      </c>
      <c r="D87" s="741" t="s">
        <v>1498</v>
      </c>
      <c r="E87" s="663"/>
      <c r="F87" s="648"/>
      <c r="G87" s="649"/>
      <c r="H87" s="649"/>
      <c r="I87" s="649"/>
      <c r="J87" s="649"/>
      <c r="K87" s="649"/>
      <c r="L87" s="649"/>
      <c r="M87" s="650">
        <v>2.5</v>
      </c>
      <c r="N87" s="624"/>
      <c r="O87" s="624"/>
      <c r="P87" s="632"/>
      <c r="R87" s="652">
        <v>2.5</v>
      </c>
      <c r="S87" s="624" t="s">
        <v>584</v>
      </c>
    </row>
    <row r="88" spans="1:19">
      <c r="A88" s="631"/>
      <c r="B88" s="624">
        <v>82</v>
      </c>
      <c r="C88" s="617" t="s">
        <v>191</v>
      </c>
      <c r="D88" s="741" t="s">
        <v>1685</v>
      </c>
      <c r="E88" s="663"/>
      <c r="F88" s="648"/>
      <c r="G88" s="649"/>
      <c r="H88" s="649"/>
      <c r="I88" s="649"/>
      <c r="J88" s="649"/>
      <c r="K88" s="649"/>
      <c r="L88" s="649"/>
      <c r="M88" s="650">
        <v>1000</v>
      </c>
      <c r="N88" s="624"/>
      <c r="O88" s="624">
        <v>0.05</v>
      </c>
      <c r="P88" s="632">
        <f>(0.05*60*0.2*1000)/2</f>
        <v>300.00000000000006</v>
      </c>
      <c r="R88" s="652">
        <v>300</v>
      </c>
      <c r="S88" s="624" t="s">
        <v>585</v>
      </c>
    </row>
    <row r="89" spans="1:19">
      <c r="A89" s="631"/>
      <c r="B89" s="624">
        <v>83</v>
      </c>
      <c r="C89" s="617" t="s">
        <v>356</v>
      </c>
      <c r="D89" s="741" t="s">
        <v>1653</v>
      </c>
      <c r="E89" s="663"/>
      <c r="F89" s="648"/>
      <c r="G89" s="649"/>
      <c r="H89" s="649"/>
      <c r="I89" s="649"/>
      <c r="J89" s="649"/>
      <c r="K89" s="649"/>
      <c r="L89" s="649"/>
      <c r="M89" s="650">
        <v>310</v>
      </c>
      <c r="N89" s="624"/>
      <c r="O89" s="624"/>
      <c r="P89" s="632"/>
      <c r="R89" s="652">
        <v>310</v>
      </c>
      <c r="S89" s="624" t="s">
        <v>584</v>
      </c>
    </row>
    <row r="90" spans="1:19">
      <c r="A90" s="631"/>
      <c r="B90" s="624">
        <v>84</v>
      </c>
      <c r="C90" s="628" t="s">
        <v>192</v>
      </c>
      <c r="D90" s="741" t="s">
        <v>1482</v>
      </c>
      <c r="E90" s="663"/>
      <c r="F90" s="648"/>
      <c r="G90" s="649"/>
      <c r="H90" s="649"/>
      <c r="I90" s="649"/>
      <c r="J90" s="649"/>
      <c r="K90" s="649"/>
      <c r="L90" s="649"/>
      <c r="M90" s="650">
        <v>590</v>
      </c>
      <c r="N90" s="624"/>
      <c r="O90" s="624"/>
      <c r="P90" s="632"/>
      <c r="R90" s="652">
        <v>590</v>
      </c>
      <c r="S90" s="624" t="s">
        <v>584</v>
      </c>
    </row>
    <row r="91" spans="1:19">
      <c r="A91" s="631"/>
      <c r="B91" s="624">
        <v>85</v>
      </c>
      <c r="C91" s="617" t="s">
        <v>61</v>
      </c>
      <c r="D91" s="741" t="s">
        <v>1565</v>
      </c>
      <c r="E91" s="665"/>
      <c r="F91" s="648"/>
      <c r="G91" s="649"/>
      <c r="H91" s="649"/>
      <c r="I91" s="649"/>
      <c r="J91" s="649"/>
      <c r="K91" s="649"/>
      <c r="L91" s="649"/>
      <c r="M91" s="650">
        <v>130</v>
      </c>
      <c r="N91" s="624"/>
      <c r="O91" s="624"/>
      <c r="P91" s="632"/>
      <c r="R91" s="652">
        <v>130</v>
      </c>
      <c r="S91" s="624" t="s">
        <v>584</v>
      </c>
    </row>
    <row r="92" spans="1:19">
      <c r="A92" s="631"/>
      <c r="B92" s="624">
        <v>86</v>
      </c>
      <c r="C92" s="618" t="s">
        <v>357</v>
      </c>
      <c r="D92" s="741" t="s">
        <v>1508</v>
      </c>
      <c r="E92" s="664"/>
      <c r="F92" s="648"/>
      <c r="G92" s="649"/>
      <c r="H92" s="649"/>
      <c r="I92" s="649"/>
      <c r="J92" s="649"/>
      <c r="K92" s="649"/>
      <c r="L92" s="649"/>
      <c r="M92" s="666">
        <v>39</v>
      </c>
      <c r="N92" s="624"/>
      <c r="O92" s="624"/>
      <c r="P92" s="632"/>
      <c r="R92" s="659">
        <v>39</v>
      </c>
      <c r="S92" s="625" t="s">
        <v>584</v>
      </c>
    </row>
    <row r="93" spans="1:19">
      <c r="A93" s="631"/>
      <c r="B93" s="624">
        <v>87</v>
      </c>
      <c r="C93" s="618" t="s">
        <v>358</v>
      </c>
      <c r="D93" s="741" t="s">
        <v>1520</v>
      </c>
      <c r="E93" s="664"/>
      <c r="F93" s="648"/>
      <c r="G93" s="649"/>
      <c r="H93" s="649"/>
      <c r="I93" s="649"/>
      <c r="J93" s="649"/>
      <c r="K93" s="649"/>
      <c r="L93" s="649"/>
      <c r="M93" s="666">
        <v>39</v>
      </c>
      <c r="N93" s="624"/>
      <c r="O93" s="624"/>
      <c r="P93" s="632"/>
      <c r="R93" s="659">
        <v>39</v>
      </c>
      <c r="S93" s="625" t="s">
        <v>584</v>
      </c>
    </row>
    <row r="94" spans="1:19">
      <c r="A94" s="631"/>
      <c r="B94" s="624">
        <v>88</v>
      </c>
      <c r="C94" s="617" t="s">
        <v>359</v>
      </c>
      <c r="D94" s="741" t="s">
        <v>1722</v>
      </c>
      <c r="E94" s="663"/>
      <c r="F94" s="648"/>
      <c r="G94" s="649"/>
      <c r="H94" s="649"/>
      <c r="I94" s="649"/>
      <c r="J94" s="649"/>
      <c r="K94" s="649"/>
      <c r="L94" s="649"/>
      <c r="M94" s="650">
        <v>2</v>
      </c>
      <c r="N94" s="624"/>
      <c r="O94" s="624"/>
      <c r="P94" s="632"/>
      <c r="R94" s="652">
        <v>2</v>
      </c>
      <c r="S94" s="624" t="s">
        <v>584</v>
      </c>
    </row>
    <row r="95" spans="1:19">
      <c r="A95" s="631"/>
      <c r="B95" s="624">
        <v>89</v>
      </c>
      <c r="C95" s="617" t="s">
        <v>360</v>
      </c>
      <c r="D95" s="741" t="s">
        <v>1745</v>
      </c>
      <c r="E95" s="667"/>
      <c r="F95" s="648"/>
      <c r="G95" s="649"/>
      <c r="H95" s="649"/>
      <c r="I95" s="649"/>
      <c r="J95" s="649"/>
      <c r="K95" s="649"/>
      <c r="L95" s="649"/>
      <c r="M95" s="650">
        <v>19</v>
      </c>
      <c r="N95" s="624"/>
      <c r="O95" s="624"/>
      <c r="P95" s="632"/>
      <c r="R95" s="659">
        <v>19</v>
      </c>
      <c r="S95" s="624" t="s">
        <v>584</v>
      </c>
    </row>
    <row r="96" spans="1:19">
      <c r="A96" s="631"/>
      <c r="B96" s="624">
        <v>90</v>
      </c>
      <c r="C96" s="617" t="s">
        <v>47</v>
      </c>
      <c r="D96" s="741" t="s">
        <v>1466</v>
      </c>
      <c r="E96" s="663"/>
      <c r="F96" s="648"/>
      <c r="G96" s="649"/>
      <c r="H96" s="649"/>
      <c r="I96" s="649"/>
      <c r="J96" s="649"/>
      <c r="K96" s="649"/>
      <c r="L96" s="649"/>
      <c r="M96" s="650">
        <v>7.5999999999999998E-2</v>
      </c>
      <c r="N96" s="624"/>
      <c r="O96" s="624"/>
      <c r="P96" s="632"/>
      <c r="R96" s="652">
        <v>7.5999999999999998E-2</v>
      </c>
      <c r="S96" s="624" t="s">
        <v>584</v>
      </c>
    </row>
    <row r="97" spans="1:19">
      <c r="A97" s="631"/>
      <c r="B97" s="624">
        <v>91</v>
      </c>
      <c r="C97" s="617" t="s">
        <v>56</v>
      </c>
      <c r="D97" s="741" t="s">
        <v>1532</v>
      </c>
      <c r="E97" s="663"/>
      <c r="F97" s="648"/>
      <c r="G97" s="649"/>
      <c r="H97" s="649"/>
      <c r="I97" s="649"/>
      <c r="J97" s="649"/>
      <c r="K97" s="649"/>
      <c r="L97" s="649"/>
      <c r="M97" s="650">
        <v>2000</v>
      </c>
      <c r="N97" s="624">
        <v>5600</v>
      </c>
      <c r="O97" s="624"/>
      <c r="P97" s="632"/>
      <c r="R97" s="652">
        <v>2000</v>
      </c>
      <c r="S97" s="624" t="s">
        <v>584</v>
      </c>
    </row>
    <row r="98" spans="1:19">
      <c r="A98" s="631"/>
      <c r="B98" s="624">
        <v>92</v>
      </c>
      <c r="C98" s="617" t="s">
        <v>361</v>
      </c>
      <c r="D98" s="741" t="s">
        <v>1477</v>
      </c>
      <c r="E98" s="665"/>
      <c r="F98" s="648"/>
      <c r="G98" s="649">
        <v>150</v>
      </c>
      <c r="H98" s="649">
        <v>150</v>
      </c>
      <c r="I98" s="649"/>
      <c r="J98" s="649"/>
      <c r="K98" s="649"/>
      <c r="L98" s="649">
        <v>330</v>
      </c>
      <c r="M98" s="650">
        <v>15</v>
      </c>
      <c r="N98" s="624"/>
      <c r="O98" s="624"/>
      <c r="P98" s="632"/>
      <c r="R98" s="652">
        <v>150</v>
      </c>
      <c r="S98" s="624" t="s">
        <v>587</v>
      </c>
    </row>
    <row r="99" spans="1:19">
      <c r="A99" s="631"/>
      <c r="B99" s="624">
        <v>93</v>
      </c>
      <c r="C99" s="628" t="s">
        <v>362</v>
      </c>
      <c r="D99" s="741" t="s">
        <v>1531</v>
      </c>
      <c r="E99" s="665"/>
      <c r="F99" s="648"/>
      <c r="G99" s="649">
        <v>150</v>
      </c>
      <c r="H99" s="649">
        <v>150</v>
      </c>
      <c r="I99" s="649"/>
      <c r="J99" s="649"/>
      <c r="K99" s="649"/>
      <c r="L99" s="649">
        <v>330</v>
      </c>
      <c r="M99" s="650">
        <v>120</v>
      </c>
      <c r="N99" s="624"/>
      <c r="O99" s="624"/>
      <c r="P99" s="632"/>
      <c r="R99" s="652">
        <v>150</v>
      </c>
      <c r="S99" s="624" t="s">
        <v>587</v>
      </c>
    </row>
    <row r="100" spans="1:19">
      <c r="A100" s="631"/>
      <c r="B100" s="624">
        <v>94</v>
      </c>
      <c r="C100" s="617" t="s">
        <v>363</v>
      </c>
      <c r="D100" s="741" t="s">
        <v>1760</v>
      </c>
      <c r="E100" s="665"/>
      <c r="F100" s="648"/>
      <c r="G100" s="649"/>
      <c r="H100" s="649"/>
      <c r="I100" s="649"/>
      <c r="J100" s="649"/>
      <c r="K100" s="649"/>
      <c r="L100" s="649">
        <v>260</v>
      </c>
      <c r="M100" s="650">
        <v>2000</v>
      </c>
      <c r="N100" s="624"/>
      <c r="O100" s="624"/>
      <c r="P100" s="632"/>
      <c r="R100" s="652">
        <v>260</v>
      </c>
      <c r="S100" s="624" t="s">
        <v>586</v>
      </c>
    </row>
    <row r="101" spans="1:19">
      <c r="A101" s="631"/>
      <c r="B101" s="624">
        <v>95</v>
      </c>
      <c r="C101" s="617" t="s">
        <v>364</v>
      </c>
      <c r="D101" s="741" t="s">
        <v>1777</v>
      </c>
      <c r="E101" s="665"/>
      <c r="F101" s="648"/>
      <c r="G101" s="649"/>
      <c r="H101" s="649"/>
      <c r="I101" s="649"/>
      <c r="J101" s="649"/>
      <c r="K101" s="649"/>
      <c r="L101" s="649">
        <v>260</v>
      </c>
      <c r="M101" s="650">
        <v>690</v>
      </c>
      <c r="N101" s="624"/>
      <c r="O101" s="624"/>
      <c r="P101" s="632"/>
      <c r="R101" s="652">
        <v>260</v>
      </c>
      <c r="S101" s="624" t="s">
        <v>586</v>
      </c>
    </row>
    <row r="102" spans="1:19">
      <c r="A102" s="631"/>
      <c r="B102" s="624">
        <v>96</v>
      </c>
      <c r="C102" s="617" t="s">
        <v>365</v>
      </c>
      <c r="D102" s="741" t="s">
        <v>1527</v>
      </c>
      <c r="E102" s="664"/>
      <c r="F102" s="648"/>
      <c r="G102" s="649"/>
      <c r="H102" s="649"/>
      <c r="I102" s="649"/>
      <c r="J102" s="649"/>
      <c r="K102" s="649"/>
      <c r="L102" s="649"/>
      <c r="M102" s="624"/>
      <c r="N102" s="624"/>
      <c r="O102" s="624"/>
      <c r="P102" s="632"/>
      <c r="R102" s="659" t="s">
        <v>506</v>
      </c>
      <c r="S102" s="625" t="s">
        <v>506</v>
      </c>
    </row>
    <row r="103" spans="1:19">
      <c r="A103" s="631"/>
      <c r="B103" s="624">
        <v>97</v>
      </c>
      <c r="C103" s="628" t="s">
        <v>366</v>
      </c>
      <c r="D103" s="741" t="s">
        <v>1668</v>
      </c>
      <c r="E103" s="668"/>
      <c r="F103" s="648"/>
      <c r="G103" s="649"/>
      <c r="H103" s="649"/>
      <c r="I103" s="649"/>
      <c r="J103" s="649"/>
      <c r="K103" s="649"/>
      <c r="L103" s="649"/>
      <c r="M103" s="624"/>
      <c r="N103" s="624"/>
      <c r="O103" s="624"/>
      <c r="P103" s="632"/>
      <c r="R103" s="659" t="s">
        <v>506</v>
      </c>
      <c r="S103" s="625" t="s">
        <v>506</v>
      </c>
    </row>
    <row r="104" spans="1:19">
      <c r="A104" s="631"/>
      <c r="B104" s="624">
        <v>98</v>
      </c>
      <c r="C104" s="617" t="s">
        <v>367</v>
      </c>
      <c r="D104" s="741" t="s">
        <v>1535</v>
      </c>
      <c r="E104" s="668"/>
      <c r="F104" s="648"/>
      <c r="G104" s="649"/>
      <c r="H104" s="649"/>
      <c r="I104" s="649"/>
      <c r="J104" s="649"/>
      <c r="K104" s="649"/>
      <c r="L104" s="649"/>
      <c r="M104" s="624"/>
      <c r="N104" s="624"/>
      <c r="O104" s="624"/>
      <c r="P104" s="632"/>
      <c r="R104" s="659" t="s">
        <v>506</v>
      </c>
      <c r="S104" s="625" t="s">
        <v>506</v>
      </c>
    </row>
    <row r="105" spans="1:19">
      <c r="A105" s="631"/>
      <c r="B105" s="624">
        <v>99</v>
      </c>
      <c r="C105" s="617" t="s">
        <v>368</v>
      </c>
      <c r="D105" s="741" t="s">
        <v>1642</v>
      </c>
      <c r="E105" s="668"/>
      <c r="F105" s="648"/>
      <c r="G105" s="649"/>
      <c r="H105" s="649"/>
      <c r="I105" s="649"/>
      <c r="J105" s="649">
        <v>5</v>
      </c>
      <c r="K105" s="649"/>
      <c r="L105" s="649"/>
      <c r="M105" s="624"/>
      <c r="N105" s="624"/>
      <c r="O105" s="624"/>
      <c r="P105" s="632"/>
      <c r="R105" s="659"/>
      <c r="S105" s="625"/>
    </row>
    <row r="106" spans="1:19">
      <c r="A106" s="631"/>
      <c r="B106" s="624">
        <v>100</v>
      </c>
      <c r="C106" s="618" t="s">
        <v>369</v>
      </c>
      <c r="D106" s="741" t="s">
        <v>1558</v>
      </c>
      <c r="E106" s="647"/>
      <c r="F106" s="648"/>
      <c r="G106" s="649"/>
      <c r="H106" s="649"/>
      <c r="I106" s="649"/>
      <c r="J106" s="649"/>
      <c r="K106" s="649"/>
      <c r="L106" s="649">
        <v>260</v>
      </c>
      <c r="M106" s="650">
        <v>660</v>
      </c>
      <c r="N106" s="624"/>
      <c r="O106" s="624"/>
      <c r="P106" s="632"/>
      <c r="R106" s="652">
        <v>260</v>
      </c>
      <c r="S106" s="624" t="s">
        <v>586</v>
      </c>
    </row>
    <row r="107" spans="1:19">
      <c r="A107" s="631"/>
      <c r="B107" s="624">
        <v>101</v>
      </c>
      <c r="C107" s="617" t="s">
        <v>370</v>
      </c>
      <c r="D107" s="741" t="s">
        <v>1717</v>
      </c>
      <c r="E107" s="647"/>
      <c r="F107" s="648"/>
      <c r="G107" s="649"/>
      <c r="H107" s="649"/>
      <c r="I107" s="649"/>
      <c r="J107" s="649"/>
      <c r="K107" s="649"/>
      <c r="L107" s="649"/>
      <c r="M107" s="650">
        <v>1000</v>
      </c>
      <c r="N107" s="624"/>
      <c r="O107" s="624"/>
      <c r="P107" s="632"/>
      <c r="R107" s="652">
        <v>1000</v>
      </c>
      <c r="S107" s="624" t="s">
        <v>584</v>
      </c>
    </row>
    <row r="108" spans="1:19">
      <c r="A108" s="631"/>
      <c r="B108" s="624">
        <v>102</v>
      </c>
      <c r="C108" s="617" t="s">
        <v>112</v>
      </c>
      <c r="D108" s="741" t="s">
        <v>1605</v>
      </c>
      <c r="E108" s="647"/>
      <c r="F108" s="648"/>
      <c r="G108" s="649"/>
      <c r="H108" s="649"/>
      <c r="I108" s="649"/>
      <c r="J108" s="649">
        <v>5</v>
      </c>
      <c r="K108" s="649"/>
      <c r="L108" s="649"/>
      <c r="M108" s="650">
        <v>16</v>
      </c>
      <c r="N108" s="624"/>
      <c r="O108" s="624"/>
      <c r="P108" s="632"/>
      <c r="R108" s="652">
        <v>16</v>
      </c>
      <c r="S108" s="624" t="s">
        <v>584</v>
      </c>
    </row>
    <row r="109" spans="1:19">
      <c r="A109" s="631"/>
      <c r="B109" s="624">
        <v>103</v>
      </c>
      <c r="C109" s="617" t="s">
        <v>113</v>
      </c>
      <c r="D109" s="741" t="s">
        <v>1640</v>
      </c>
      <c r="E109" s="647"/>
      <c r="F109" s="648"/>
      <c r="G109" s="649"/>
      <c r="H109" s="649"/>
      <c r="I109" s="649"/>
      <c r="J109" s="649">
        <v>5</v>
      </c>
      <c r="K109" s="649"/>
      <c r="L109" s="649"/>
      <c r="M109" s="650">
        <v>15000</v>
      </c>
      <c r="N109" s="624"/>
      <c r="O109" s="624">
        <v>0.8</v>
      </c>
      <c r="P109" s="632">
        <v>4800</v>
      </c>
      <c r="R109" s="652">
        <v>15000</v>
      </c>
      <c r="S109" s="624" t="s">
        <v>584</v>
      </c>
    </row>
    <row r="110" spans="1:19">
      <c r="A110" s="631"/>
      <c r="B110" s="624">
        <v>104</v>
      </c>
      <c r="C110" s="617" t="s">
        <v>114</v>
      </c>
      <c r="D110" s="741" t="s">
        <v>1649</v>
      </c>
      <c r="E110" s="647"/>
      <c r="F110" s="648"/>
      <c r="G110" s="649"/>
      <c r="H110" s="649"/>
      <c r="I110" s="649"/>
      <c r="J110" s="649">
        <v>5</v>
      </c>
      <c r="K110" s="649"/>
      <c r="L110" s="649"/>
      <c r="M110" s="650">
        <v>900</v>
      </c>
      <c r="N110" s="624"/>
      <c r="O110" s="624"/>
      <c r="P110" s="632"/>
      <c r="R110" s="652">
        <v>900</v>
      </c>
      <c r="S110" s="624" t="s">
        <v>584</v>
      </c>
    </row>
    <row r="111" spans="1:19">
      <c r="A111" s="631"/>
      <c r="B111" s="624">
        <v>105</v>
      </c>
      <c r="C111" s="617" t="s">
        <v>371</v>
      </c>
      <c r="D111" s="741" t="s">
        <v>372</v>
      </c>
      <c r="E111" s="647"/>
      <c r="F111" s="648">
        <v>0.1</v>
      </c>
      <c r="G111" s="649"/>
      <c r="H111" s="649"/>
      <c r="I111" s="649"/>
      <c r="J111" s="649"/>
      <c r="K111" s="649"/>
      <c r="L111" s="649"/>
      <c r="M111" s="650"/>
      <c r="N111" s="624"/>
      <c r="O111" s="624"/>
      <c r="P111" s="632"/>
      <c r="R111" s="652">
        <v>0.1</v>
      </c>
      <c r="S111" s="624" t="s">
        <v>580</v>
      </c>
    </row>
    <row r="112" spans="1:19">
      <c r="A112" s="631"/>
      <c r="B112" s="624">
        <v>106</v>
      </c>
      <c r="C112" s="617" t="s">
        <v>373</v>
      </c>
      <c r="D112" s="741" t="s">
        <v>1635</v>
      </c>
      <c r="E112" s="653"/>
      <c r="F112" s="648"/>
      <c r="G112" s="649"/>
      <c r="H112" s="649"/>
      <c r="I112" s="649"/>
      <c r="J112" s="649"/>
      <c r="K112" s="649"/>
      <c r="L112" s="649"/>
      <c r="M112" s="650">
        <v>7.9</v>
      </c>
      <c r="N112" s="624"/>
      <c r="O112" s="624"/>
      <c r="P112" s="632"/>
      <c r="R112" s="659">
        <v>7.9</v>
      </c>
      <c r="S112" s="624" t="s">
        <v>584</v>
      </c>
    </row>
    <row r="113" spans="1:19">
      <c r="A113" s="631"/>
      <c r="B113" s="624">
        <v>107</v>
      </c>
      <c r="C113" s="617" t="s">
        <v>76</v>
      </c>
      <c r="D113" s="741" t="s">
        <v>1659</v>
      </c>
      <c r="E113" s="647"/>
      <c r="F113" s="648"/>
      <c r="G113" s="649"/>
      <c r="H113" s="649"/>
      <c r="I113" s="649"/>
      <c r="J113" s="649"/>
      <c r="K113" s="649"/>
      <c r="L113" s="649">
        <v>160</v>
      </c>
      <c r="M113" s="650">
        <v>810</v>
      </c>
      <c r="N113" s="624"/>
      <c r="O113" s="624"/>
      <c r="P113" s="632"/>
      <c r="R113" s="652">
        <v>160</v>
      </c>
      <c r="S113" s="624" t="s">
        <v>586</v>
      </c>
    </row>
    <row r="114" spans="1:19">
      <c r="A114" s="631"/>
      <c r="B114" s="624">
        <v>108</v>
      </c>
      <c r="C114" s="617" t="s">
        <v>50</v>
      </c>
      <c r="D114" s="741" t="s">
        <v>49</v>
      </c>
      <c r="E114" s="647"/>
      <c r="F114" s="648"/>
      <c r="G114" s="649"/>
      <c r="H114" s="649"/>
      <c r="I114" s="649"/>
      <c r="J114" s="649"/>
      <c r="K114" s="649"/>
      <c r="L114" s="649">
        <v>5.0000000000000001E-3</v>
      </c>
      <c r="M114" s="650">
        <v>7.5000000000000002E-4</v>
      </c>
      <c r="N114" s="624"/>
      <c r="O114" s="624"/>
      <c r="P114" s="632"/>
      <c r="R114" s="652">
        <v>5.0000000000000001E-3</v>
      </c>
      <c r="S114" s="624" t="s">
        <v>586</v>
      </c>
    </row>
    <row r="115" spans="1:19">
      <c r="A115" s="631"/>
      <c r="B115" s="624">
        <v>109</v>
      </c>
      <c r="C115" s="617" t="s">
        <v>374</v>
      </c>
      <c r="D115" s="741" t="s">
        <v>1523</v>
      </c>
      <c r="E115" s="647"/>
      <c r="F115" s="648"/>
      <c r="G115" s="649"/>
      <c r="H115" s="649"/>
      <c r="I115" s="649"/>
      <c r="J115" s="649"/>
      <c r="K115" s="649"/>
      <c r="L115" s="649"/>
      <c r="M115" s="650">
        <v>250</v>
      </c>
      <c r="N115" s="624"/>
      <c r="O115" s="624"/>
      <c r="P115" s="632"/>
      <c r="R115" s="669">
        <v>250</v>
      </c>
      <c r="S115" s="624" t="s">
        <v>584</v>
      </c>
    </row>
    <row r="116" spans="1:19">
      <c r="A116" s="631"/>
      <c r="B116" s="624">
        <v>110</v>
      </c>
      <c r="C116" s="617" t="s">
        <v>52</v>
      </c>
      <c r="D116" s="741" t="s">
        <v>51</v>
      </c>
      <c r="E116" s="647"/>
      <c r="F116" s="648">
        <v>0.1</v>
      </c>
      <c r="G116" s="649"/>
      <c r="H116" s="649"/>
      <c r="I116" s="649">
        <v>1</v>
      </c>
      <c r="J116" s="649"/>
      <c r="K116" s="649">
        <v>0.2</v>
      </c>
      <c r="L116" s="649"/>
      <c r="M116" s="650">
        <v>3.3E-4</v>
      </c>
      <c r="N116" s="624"/>
      <c r="O116" s="624"/>
      <c r="P116" s="632"/>
      <c r="R116" s="652">
        <v>0.1</v>
      </c>
      <c r="S116" s="624" t="s">
        <v>580</v>
      </c>
    </row>
    <row r="117" spans="1:19">
      <c r="A117" s="631"/>
      <c r="B117" s="624">
        <v>111</v>
      </c>
      <c r="C117" s="617" t="s">
        <v>68</v>
      </c>
      <c r="D117" s="741" t="s">
        <v>1614</v>
      </c>
      <c r="E117" s="647"/>
      <c r="F117" s="648"/>
      <c r="G117" s="649"/>
      <c r="H117" s="649"/>
      <c r="I117" s="649"/>
      <c r="J117" s="649"/>
      <c r="K117" s="649"/>
      <c r="L117" s="649"/>
      <c r="M117" s="650">
        <v>190</v>
      </c>
      <c r="N117" s="624"/>
      <c r="O117" s="624"/>
      <c r="P117" s="632"/>
      <c r="R117" s="652">
        <v>190</v>
      </c>
      <c r="S117" s="624" t="s">
        <v>584</v>
      </c>
    </row>
    <row r="118" spans="1:19">
      <c r="A118" s="631"/>
      <c r="B118" s="624">
        <v>112</v>
      </c>
      <c r="C118" s="617" t="s">
        <v>375</v>
      </c>
      <c r="D118" s="741" t="s">
        <v>1594</v>
      </c>
      <c r="E118" s="658"/>
      <c r="F118" s="648"/>
      <c r="G118" s="649"/>
      <c r="H118" s="649"/>
      <c r="I118" s="649"/>
      <c r="J118" s="649"/>
      <c r="K118" s="649"/>
      <c r="L118" s="649"/>
      <c r="M118" s="624"/>
      <c r="N118" s="624"/>
      <c r="O118" s="624"/>
      <c r="P118" s="632"/>
      <c r="R118" s="659" t="s">
        <v>506</v>
      </c>
      <c r="S118" s="625" t="s">
        <v>506</v>
      </c>
    </row>
    <row r="119" spans="1:19">
      <c r="A119" s="631"/>
      <c r="B119" s="624">
        <v>113</v>
      </c>
      <c r="C119" s="617" t="s">
        <v>81</v>
      </c>
      <c r="D119" s="741" t="s">
        <v>1728</v>
      </c>
      <c r="E119" s="647"/>
      <c r="F119" s="648"/>
      <c r="G119" s="649"/>
      <c r="H119" s="649"/>
      <c r="I119" s="649"/>
      <c r="J119" s="649"/>
      <c r="K119" s="649"/>
      <c r="L119" s="649"/>
      <c r="M119" s="650">
        <v>0.27</v>
      </c>
      <c r="N119" s="624"/>
      <c r="O119" s="624"/>
      <c r="P119" s="632"/>
      <c r="R119" s="652">
        <v>0.27</v>
      </c>
      <c r="S119" s="624" t="s">
        <v>584</v>
      </c>
    </row>
    <row r="120" spans="1:19">
      <c r="A120" s="631"/>
      <c r="B120" s="624">
        <v>114</v>
      </c>
      <c r="C120" s="617" t="s">
        <v>77</v>
      </c>
      <c r="D120" s="741" t="s">
        <v>1681</v>
      </c>
      <c r="E120" s="647"/>
      <c r="F120" s="648"/>
      <c r="G120" s="649"/>
      <c r="H120" s="649"/>
      <c r="I120" s="649">
        <v>0.6</v>
      </c>
      <c r="J120" s="649"/>
      <c r="K120" s="649"/>
      <c r="L120" s="649"/>
      <c r="M120" s="650">
        <v>0.14000000000000001</v>
      </c>
      <c r="N120" s="624"/>
      <c r="O120" s="624"/>
      <c r="P120" s="632"/>
      <c r="R120" s="652">
        <v>0.6</v>
      </c>
      <c r="S120" s="624" t="s">
        <v>581</v>
      </c>
    </row>
    <row r="121" spans="1:19">
      <c r="A121" s="631"/>
      <c r="B121" s="624">
        <v>115</v>
      </c>
      <c r="C121" s="617" t="s">
        <v>376</v>
      </c>
      <c r="D121" s="741" t="s">
        <v>1494</v>
      </c>
      <c r="E121" s="647"/>
      <c r="F121" s="648"/>
      <c r="G121" s="649"/>
      <c r="H121" s="649"/>
      <c r="I121" s="649"/>
      <c r="J121" s="649"/>
      <c r="K121" s="649"/>
      <c r="L121" s="649"/>
      <c r="M121" s="650">
        <v>65</v>
      </c>
      <c r="N121" s="624"/>
      <c r="O121" s="624"/>
      <c r="P121" s="632"/>
      <c r="R121" s="652">
        <v>65</v>
      </c>
      <c r="S121" s="624" t="s">
        <v>584</v>
      </c>
    </row>
    <row r="122" spans="1:19">
      <c r="A122" s="631"/>
      <c r="B122" s="624">
        <v>116</v>
      </c>
      <c r="C122" s="617" t="s">
        <v>84</v>
      </c>
      <c r="D122" s="741" t="s">
        <v>1776</v>
      </c>
      <c r="E122" s="647"/>
      <c r="F122" s="648"/>
      <c r="G122" s="649"/>
      <c r="H122" s="649"/>
      <c r="I122" s="649"/>
      <c r="J122" s="649"/>
      <c r="K122" s="649"/>
      <c r="L122" s="649"/>
      <c r="M122" s="650"/>
      <c r="N122" s="624"/>
      <c r="O122" s="624">
        <v>3.0000000000000001E-3</v>
      </c>
      <c r="P122" s="632">
        <f>(0.003*60*0.2*1000)/2</f>
        <v>18</v>
      </c>
      <c r="R122" s="652">
        <v>18</v>
      </c>
      <c r="S122" s="624" t="s">
        <v>585</v>
      </c>
    </row>
    <row r="123" spans="1:19">
      <c r="A123" s="631"/>
      <c r="B123" s="624">
        <v>117</v>
      </c>
      <c r="C123" s="617" t="s">
        <v>377</v>
      </c>
      <c r="D123" s="741" t="s">
        <v>1550</v>
      </c>
      <c r="E123" s="658"/>
      <c r="F123" s="648"/>
      <c r="G123" s="649"/>
      <c r="H123" s="649"/>
      <c r="I123" s="649"/>
      <c r="J123" s="649"/>
      <c r="K123" s="649"/>
      <c r="L123" s="649"/>
      <c r="M123" s="624"/>
      <c r="N123" s="624"/>
      <c r="O123" s="624"/>
      <c r="P123" s="632"/>
      <c r="R123" s="659" t="s">
        <v>506</v>
      </c>
      <c r="S123" s="625" t="s">
        <v>506</v>
      </c>
    </row>
    <row r="124" spans="1:19">
      <c r="A124" s="631"/>
      <c r="B124" s="624">
        <v>118</v>
      </c>
      <c r="C124" s="617" t="s">
        <v>378</v>
      </c>
      <c r="D124" s="741" t="s">
        <v>1578</v>
      </c>
      <c r="E124" s="647"/>
      <c r="F124" s="648"/>
      <c r="G124" s="649"/>
      <c r="H124" s="649"/>
      <c r="I124" s="649"/>
      <c r="J124" s="649"/>
      <c r="K124" s="649"/>
      <c r="L124" s="649"/>
      <c r="M124" s="650">
        <v>780</v>
      </c>
      <c r="N124" s="624"/>
      <c r="O124" s="624"/>
      <c r="P124" s="632"/>
      <c r="R124" s="652">
        <v>780</v>
      </c>
      <c r="S124" s="624" t="s">
        <v>584</v>
      </c>
    </row>
    <row r="125" spans="1:19">
      <c r="A125" s="631"/>
      <c r="B125" s="624">
        <v>119</v>
      </c>
      <c r="C125" s="617" t="s">
        <v>379</v>
      </c>
      <c r="D125" s="741" t="s">
        <v>1539</v>
      </c>
      <c r="E125" s="658"/>
      <c r="F125" s="648"/>
      <c r="G125" s="649"/>
      <c r="H125" s="649"/>
      <c r="I125" s="649"/>
      <c r="J125" s="649"/>
      <c r="K125" s="649"/>
      <c r="L125" s="649"/>
      <c r="M125" s="624"/>
      <c r="N125" s="624"/>
      <c r="O125" s="624"/>
      <c r="P125" s="632"/>
      <c r="R125" s="659" t="s">
        <v>506</v>
      </c>
      <c r="S125" s="625" t="s">
        <v>506</v>
      </c>
    </row>
    <row r="126" spans="1:19">
      <c r="A126" s="631"/>
      <c r="B126" s="624">
        <v>120</v>
      </c>
      <c r="C126" s="617" t="s">
        <v>380</v>
      </c>
      <c r="D126" s="741" t="s">
        <v>1538</v>
      </c>
      <c r="E126" s="658"/>
      <c r="F126" s="648"/>
      <c r="G126" s="649"/>
      <c r="H126" s="649"/>
      <c r="I126" s="649"/>
      <c r="J126" s="649"/>
      <c r="K126" s="649"/>
      <c r="L126" s="649"/>
      <c r="M126" s="624"/>
      <c r="N126" s="624"/>
      <c r="O126" s="624"/>
      <c r="P126" s="632"/>
      <c r="R126" s="659" t="s">
        <v>506</v>
      </c>
      <c r="S126" s="625" t="s">
        <v>506</v>
      </c>
    </row>
    <row r="127" spans="1:19">
      <c r="A127" s="631"/>
      <c r="B127" s="624">
        <v>121</v>
      </c>
      <c r="C127" s="617" t="s">
        <v>381</v>
      </c>
      <c r="D127" s="741" t="s">
        <v>1551</v>
      </c>
      <c r="E127" s="658"/>
      <c r="F127" s="648"/>
      <c r="G127" s="649"/>
      <c r="H127" s="649"/>
      <c r="I127" s="649"/>
      <c r="J127" s="649"/>
      <c r="K127" s="649"/>
      <c r="L127" s="649"/>
      <c r="M127" s="624"/>
      <c r="N127" s="624"/>
      <c r="O127" s="624"/>
      <c r="P127" s="632"/>
      <c r="R127" s="659" t="s">
        <v>506</v>
      </c>
      <c r="S127" s="625" t="s">
        <v>506</v>
      </c>
    </row>
    <row r="128" spans="1:19">
      <c r="A128" s="631"/>
      <c r="B128" s="624">
        <v>122</v>
      </c>
      <c r="C128" s="617" t="s">
        <v>136</v>
      </c>
      <c r="D128" s="741" t="s">
        <v>1536</v>
      </c>
      <c r="E128" s="665"/>
      <c r="F128" s="648"/>
      <c r="G128" s="649"/>
      <c r="H128" s="649"/>
      <c r="I128" s="649"/>
      <c r="J128" s="649"/>
      <c r="K128" s="649" t="s">
        <v>591</v>
      </c>
      <c r="L128" s="649"/>
      <c r="M128" s="650">
        <v>1.1999999999999999E-7</v>
      </c>
      <c r="N128" s="650">
        <v>9.9999999999999995E-7</v>
      </c>
      <c r="O128" s="624"/>
      <c r="P128" s="632"/>
      <c r="R128" s="652" t="s">
        <v>591</v>
      </c>
      <c r="S128" s="624" t="s">
        <v>592</v>
      </c>
    </row>
    <row r="129" spans="1:19" ht="49.5" customHeight="1">
      <c r="A129" s="631"/>
      <c r="B129" s="624">
        <v>123</v>
      </c>
      <c r="C129" s="622" t="s">
        <v>382</v>
      </c>
      <c r="D129" s="741" t="s">
        <v>383</v>
      </c>
      <c r="E129" s="665"/>
      <c r="F129" s="648">
        <v>0.1</v>
      </c>
      <c r="G129" s="649"/>
      <c r="H129" s="649"/>
      <c r="I129" s="649"/>
      <c r="J129" s="649"/>
      <c r="K129" s="649"/>
      <c r="L129" s="649"/>
      <c r="M129" s="650">
        <v>1800</v>
      </c>
      <c r="N129" s="624"/>
      <c r="O129" s="624"/>
      <c r="P129" s="632"/>
      <c r="R129" s="652">
        <v>1</v>
      </c>
      <c r="S129" s="657" t="s">
        <v>2434</v>
      </c>
    </row>
    <row r="130" spans="1:19">
      <c r="A130" s="631"/>
      <c r="B130" s="624">
        <v>124</v>
      </c>
      <c r="C130" s="617" t="s">
        <v>384</v>
      </c>
      <c r="D130" s="741" t="s">
        <v>1661</v>
      </c>
      <c r="E130" s="670"/>
      <c r="F130" s="648"/>
      <c r="G130" s="649"/>
      <c r="H130" s="649"/>
      <c r="I130" s="649"/>
      <c r="J130" s="649"/>
      <c r="K130" s="649"/>
      <c r="L130" s="649"/>
      <c r="M130" s="650"/>
      <c r="N130" s="624">
        <v>0.02</v>
      </c>
      <c r="O130" s="624"/>
      <c r="P130" s="632"/>
      <c r="R130" s="659">
        <v>0.02</v>
      </c>
      <c r="S130" s="625" t="s">
        <v>583</v>
      </c>
    </row>
    <row r="131" spans="1:19">
      <c r="A131" s="631"/>
      <c r="B131" s="624">
        <v>125</v>
      </c>
      <c r="C131" s="618" t="s">
        <v>385</v>
      </c>
      <c r="D131" s="741" t="s">
        <v>1503</v>
      </c>
      <c r="E131" s="658"/>
      <c r="F131" s="648"/>
      <c r="G131" s="649"/>
      <c r="H131" s="649"/>
      <c r="I131" s="649"/>
      <c r="J131" s="649">
        <v>30</v>
      </c>
      <c r="K131" s="649"/>
      <c r="L131" s="649"/>
      <c r="M131" s="624"/>
      <c r="N131" s="624"/>
      <c r="O131" s="624"/>
      <c r="P131" s="632"/>
      <c r="R131" s="659"/>
      <c r="S131" s="625"/>
    </row>
    <row r="132" spans="1:19">
      <c r="A132" s="631"/>
      <c r="B132" s="624">
        <v>126</v>
      </c>
      <c r="C132" s="618" t="s">
        <v>386</v>
      </c>
      <c r="D132" s="741" t="s">
        <v>1557</v>
      </c>
      <c r="E132" s="658"/>
      <c r="F132" s="648"/>
      <c r="G132" s="649"/>
      <c r="H132" s="649"/>
      <c r="I132" s="649"/>
      <c r="J132" s="649"/>
      <c r="K132" s="649"/>
      <c r="L132" s="649"/>
      <c r="M132" s="666">
        <v>1400</v>
      </c>
      <c r="N132" s="624">
        <v>1</v>
      </c>
      <c r="O132" s="624"/>
      <c r="P132" s="632"/>
      <c r="R132" s="659">
        <v>1400</v>
      </c>
      <c r="S132" s="625" t="s">
        <v>584</v>
      </c>
    </row>
    <row r="133" spans="1:19">
      <c r="A133" s="631"/>
      <c r="B133" s="624">
        <v>127</v>
      </c>
      <c r="C133" s="618" t="s">
        <v>387</v>
      </c>
      <c r="D133" s="741" t="s">
        <v>1599</v>
      </c>
      <c r="E133" s="647"/>
      <c r="F133" s="648"/>
      <c r="G133" s="649"/>
      <c r="H133" s="649"/>
      <c r="I133" s="649">
        <v>2000</v>
      </c>
      <c r="J133" s="649"/>
      <c r="K133" s="649"/>
      <c r="L133" s="649"/>
      <c r="M133" s="650"/>
      <c r="N133" s="624"/>
      <c r="O133" s="624"/>
      <c r="P133" s="632"/>
      <c r="R133" s="652">
        <v>2000</v>
      </c>
      <c r="S133" s="624" t="s">
        <v>581</v>
      </c>
    </row>
    <row r="134" spans="1:19" ht="43.5" customHeight="1">
      <c r="A134" s="631"/>
      <c r="B134" s="624">
        <v>128</v>
      </c>
      <c r="C134" s="622" t="s">
        <v>138</v>
      </c>
      <c r="D134" s="741" t="s">
        <v>533</v>
      </c>
      <c r="E134" s="647"/>
      <c r="F134" s="648">
        <v>0.1</v>
      </c>
      <c r="G134" s="649">
        <v>0.2</v>
      </c>
      <c r="H134" s="649">
        <v>0.1</v>
      </c>
      <c r="I134" s="649">
        <v>0.2</v>
      </c>
      <c r="J134" s="649">
        <v>0.2</v>
      </c>
      <c r="K134" s="649">
        <v>2</v>
      </c>
      <c r="L134" s="649"/>
      <c r="M134" s="650">
        <v>0.02</v>
      </c>
      <c r="N134" s="624"/>
      <c r="O134" s="624"/>
      <c r="P134" s="632"/>
      <c r="R134" s="652">
        <v>1</v>
      </c>
      <c r="S134" s="657" t="s">
        <v>2434</v>
      </c>
    </row>
    <row r="135" spans="1:19">
      <c r="A135" s="631"/>
      <c r="B135" s="624">
        <v>129</v>
      </c>
      <c r="C135" s="618" t="s">
        <v>388</v>
      </c>
      <c r="D135" s="747" t="s">
        <v>389</v>
      </c>
      <c r="E135" s="647"/>
      <c r="F135" s="648"/>
      <c r="G135" s="649"/>
      <c r="H135" s="649"/>
      <c r="I135" s="649"/>
      <c r="J135" s="649"/>
      <c r="K135" s="649"/>
      <c r="L135" s="649"/>
      <c r="M135" s="650"/>
      <c r="N135" s="624"/>
      <c r="O135" s="624"/>
      <c r="P135" s="632"/>
      <c r="R135" s="652" t="s">
        <v>532</v>
      </c>
      <c r="S135" s="624" t="s">
        <v>532</v>
      </c>
    </row>
    <row r="136" spans="1:19">
      <c r="A136" s="631"/>
      <c r="B136" s="624">
        <v>130</v>
      </c>
      <c r="C136" s="617" t="s">
        <v>54</v>
      </c>
      <c r="D136" s="741" t="s">
        <v>53</v>
      </c>
      <c r="E136" s="647"/>
      <c r="F136" s="648"/>
      <c r="G136" s="649"/>
      <c r="H136" s="649"/>
      <c r="I136" s="649">
        <v>40</v>
      </c>
      <c r="J136" s="649"/>
      <c r="K136" s="649">
        <v>5</v>
      </c>
      <c r="L136" s="649"/>
      <c r="M136" s="650">
        <v>0.44</v>
      </c>
      <c r="N136" s="624"/>
      <c r="O136" s="624"/>
      <c r="P136" s="632"/>
      <c r="R136" s="652">
        <v>40</v>
      </c>
      <c r="S136" s="624" t="s">
        <v>581</v>
      </c>
    </row>
    <row r="137" spans="1:19">
      <c r="A137" s="631"/>
      <c r="B137" s="624">
        <v>131</v>
      </c>
      <c r="C137" s="617" t="s">
        <v>141</v>
      </c>
      <c r="D137" s="741" t="s">
        <v>534</v>
      </c>
      <c r="E137" s="647"/>
      <c r="F137" s="648">
        <v>0.03</v>
      </c>
      <c r="G137" s="649">
        <v>0.03</v>
      </c>
      <c r="H137" s="649">
        <v>0.03</v>
      </c>
      <c r="I137" s="649">
        <v>0.03</v>
      </c>
      <c r="J137" s="649">
        <v>0.1</v>
      </c>
      <c r="K137" s="649"/>
      <c r="L137" s="649"/>
      <c r="M137" s="650">
        <v>1.8E-3</v>
      </c>
      <c r="N137" s="624"/>
      <c r="O137" s="624"/>
      <c r="P137" s="632"/>
      <c r="R137" s="652">
        <v>0.03</v>
      </c>
      <c r="S137" s="624" t="s">
        <v>580</v>
      </c>
    </row>
    <row r="138" spans="1:19">
      <c r="A138" s="631"/>
      <c r="B138" s="624">
        <v>132</v>
      </c>
      <c r="C138" s="618" t="s">
        <v>390</v>
      </c>
      <c r="D138" s="741" t="s">
        <v>1552</v>
      </c>
      <c r="E138" s="658"/>
      <c r="F138" s="648"/>
      <c r="G138" s="649"/>
      <c r="H138" s="649"/>
      <c r="I138" s="649"/>
      <c r="J138" s="649"/>
      <c r="K138" s="649"/>
      <c r="L138" s="649"/>
      <c r="M138" s="624"/>
      <c r="N138" s="624"/>
      <c r="O138" s="624"/>
      <c r="P138" s="632"/>
      <c r="R138" s="659" t="s">
        <v>506</v>
      </c>
      <c r="S138" s="625" t="s">
        <v>506</v>
      </c>
    </row>
    <row r="139" spans="1:19">
      <c r="A139" s="631"/>
      <c r="B139" s="624">
        <v>133</v>
      </c>
      <c r="C139" s="617" t="s">
        <v>139</v>
      </c>
      <c r="D139" s="741" t="s">
        <v>1664</v>
      </c>
      <c r="E139" s="647"/>
      <c r="F139" s="648">
        <v>0.03</v>
      </c>
      <c r="G139" s="649"/>
      <c r="H139" s="649"/>
      <c r="I139" s="649"/>
      <c r="J139" s="649">
        <v>3</v>
      </c>
      <c r="K139" s="649">
        <v>0.2</v>
      </c>
      <c r="L139" s="649"/>
      <c r="M139" s="650">
        <v>1.4E-3</v>
      </c>
      <c r="N139" s="624"/>
      <c r="O139" s="624"/>
      <c r="P139" s="632"/>
      <c r="R139" s="652">
        <v>0.03</v>
      </c>
      <c r="S139" s="624" t="s">
        <v>580</v>
      </c>
    </row>
    <row r="140" spans="1:19">
      <c r="A140" s="631"/>
      <c r="B140" s="624">
        <v>134</v>
      </c>
      <c r="C140" s="618" t="s">
        <v>391</v>
      </c>
      <c r="D140" s="741" t="s">
        <v>1526</v>
      </c>
      <c r="E140" s="658"/>
      <c r="F140" s="648"/>
      <c r="G140" s="649"/>
      <c r="H140" s="649"/>
      <c r="I140" s="649"/>
      <c r="J140" s="649"/>
      <c r="K140" s="649"/>
      <c r="L140" s="649"/>
      <c r="M140" s="624"/>
      <c r="N140" s="624"/>
      <c r="O140" s="624"/>
      <c r="P140" s="632"/>
      <c r="R140" s="659" t="s">
        <v>506</v>
      </c>
      <c r="S140" s="625" t="s">
        <v>506</v>
      </c>
    </row>
    <row r="141" spans="1:19" ht="30">
      <c r="A141" s="631"/>
      <c r="B141" s="624">
        <v>135</v>
      </c>
      <c r="C141" s="632" t="s">
        <v>392</v>
      </c>
      <c r="D141" s="741" t="s">
        <v>1688</v>
      </c>
      <c r="E141" s="658"/>
      <c r="F141" s="648"/>
      <c r="G141" s="649"/>
      <c r="H141" s="649"/>
      <c r="I141" s="649"/>
      <c r="J141" s="649"/>
      <c r="K141" s="649"/>
      <c r="L141" s="649"/>
      <c r="M141" s="624"/>
      <c r="N141" s="624"/>
      <c r="O141" s="624"/>
      <c r="P141" s="632"/>
      <c r="R141" s="659" t="s">
        <v>506</v>
      </c>
      <c r="S141" s="625" t="s">
        <v>506</v>
      </c>
    </row>
    <row r="142" spans="1:19" ht="48.75" customHeight="1">
      <c r="A142" s="631"/>
      <c r="B142" s="624">
        <v>136</v>
      </c>
      <c r="C142" s="617" t="s">
        <v>140</v>
      </c>
      <c r="D142" s="741" t="s">
        <v>1692</v>
      </c>
      <c r="E142" s="647"/>
      <c r="F142" s="648">
        <v>0.1</v>
      </c>
      <c r="G142" s="649">
        <v>2</v>
      </c>
      <c r="H142" s="649">
        <v>0.1</v>
      </c>
      <c r="I142" s="649">
        <v>2</v>
      </c>
      <c r="J142" s="649"/>
      <c r="K142" s="649">
        <v>0.2</v>
      </c>
      <c r="L142" s="649"/>
      <c r="M142" s="650">
        <v>4.2000000000000003E-2</v>
      </c>
      <c r="N142" s="624"/>
      <c r="O142" s="624"/>
      <c r="P142" s="632"/>
      <c r="R142" s="652">
        <v>1</v>
      </c>
      <c r="S142" s="657" t="s">
        <v>2434</v>
      </c>
    </row>
    <row r="143" spans="1:19">
      <c r="A143" s="631"/>
      <c r="B143" s="624">
        <v>137</v>
      </c>
      <c r="C143" s="624" t="s">
        <v>393</v>
      </c>
      <c r="D143" s="741" t="s">
        <v>1519</v>
      </c>
      <c r="E143" s="658"/>
      <c r="F143" s="648"/>
      <c r="G143" s="649"/>
      <c r="H143" s="649"/>
      <c r="I143" s="649"/>
      <c r="J143" s="649"/>
      <c r="K143" s="649"/>
      <c r="L143" s="649"/>
      <c r="M143" s="624"/>
      <c r="N143" s="624"/>
      <c r="O143" s="624"/>
      <c r="P143" s="632"/>
      <c r="R143" s="659" t="s">
        <v>506</v>
      </c>
      <c r="S143" s="625" t="s">
        <v>506</v>
      </c>
    </row>
    <row r="144" spans="1:19">
      <c r="A144" s="631"/>
      <c r="B144" s="624">
        <v>138</v>
      </c>
      <c r="C144" s="624" t="s">
        <v>394</v>
      </c>
      <c r="D144" s="741" t="s">
        <v>1715</v>
      </c>
      <c r="E144" s="658"/>
      <c r="F144" s="648"/>
      <c r="G144" s="649"/>
      <c r="H144" s="649"/>
      <c r="I144" s="649"/>
      <c r="J144" s="649"/>
      <c r="K144" s="649"/>
      <c r="L144" s="649"/>
      <c r="M144" s="624"/>
      <c r="N144" s="624"/>
      <c r="O144" s="624"/>
      <c r="P144" s="632"/>
      <c r="R144" s="659" t="s">
        <v>506</v>
      </c>
      <c r="S144" s="625" t="s">
        <v>506</v>
      </c>
    </row>
    <row r="145" spans="1:19">
      <c r="A145" s="631"/>
      <c r="B145" s="624">
        <v>139</v>
      </c>
      <c r="C145" s="624" t="s">
        <v>395</v>
      </c>
      <c r="D145" s="741" t="s">
        <v>1512</v>
      </c>
      <c r="E145" s="658"/>
      <c r="F145" s="648"/>
      <c r="G145" s="649"/>
      <c r="H145" s="649"/>
      <c r="I145" s="649"/>
      <c r="J145" s="649"/>
      <c r="K145" s="649"/>
      <c r="L145" s="649"/>
      <c r="M145" s="624"/>
      <c r="N145" s="624"/>
      <c r="O145" s="624"/>
      <c r="P145" s="632"/>
      <c r="R145" s="659" t="s">
        <v>506</v>
      </c>
      <c r="S145" s="625" t="s">
        <v>506</v>
      </c>
    </row>
    <row r="146" spans="1:19">
      <c r="A146" s="631"/>
      <c r="B146" s="624">
        <v>140</v>
      </c>
      <c r="C146" s="624" t="s">
        <v>396</v>
      </c>
      <c r="D146" s="741" t="s">
        <v>1725</v>
      </c>
      <c r="E146" s="658"/>
      <c r="F146" s="648"/>
      <c r="G146" s="649"/>
      <c r="H146" s="649"/>
      <c r="I146" s="649"/>
      <c r="J146" s="649"/>
      <c r="K146" s="649"/>
      <c r="L146" s="649"/>
      <c r="M146" s="624"/>
      <c r="N146" s="624"/>
      <c r="O146" s="624"/>
      <c r="P146" s="632"/>
      <c r="R146" s="659" t="s">
        <v>506</v>
      </c>
      <c r="S146" s="625" t="s">
        <v>506</v>
      </c>
    </row>
    <row r="147" spans="1:19">
      <c r="A147" s="631"/>
      <c r="B147" s="624">
        <v>141</v>
      </c>
      <c r="C147" s="624" t="s">
        <v>397</v>
      </c>
      <c r="D147" s="741" t="s">
        <v>1748</v>
      </c>
      <c r="E147" s="658"/>
      <c r="F147" s="648"/>
      <c r="G147" s="649"/>
      <c r="H147" s="649"/>
      <c r="I147" s="649"/>
      <c r="J147" s="649"/>
      <c r="K147" s="649"/>
      <c r="L147" s="649"/>
      <c r="M147" s="624"/>
      <c r="N147" s="624"/>
      <c r="O147" s="624"/>
      <c r="P147" s="632"/>
      <c r="R147" s="659" t="s">
        <v>506</v>
      </c>
      <c r="S147" s="625" t="s">
        <v>506</v>
      </c>
    </row>
    <row r="148" spans="1:19">
      <c r="A148" s="631"/>
      <c r="B148" s="624">
        <v>142</v>
      </c>
      <c r="C148" s="624" t="s">
        <v>398</v>
      </c>
      <c r="D148" s="741" t="s">
        <v>1750</v>
      </c>
      <c r="E148" s="658"/>
      <c r="F148" s="648"/>
      <c r="G148" s="649"/>
      <c r="H148" s="649"/>
      <c r="I148" s="649"/>
      <c r="J148" s="649"/>
      <c r="K148" s="649"/>
      <c r="L148" s="649"/>
      <c r="M148" s="624"/>
      <c r="N148" s="624"/>
      <c r="O148" s="624"/>
      <c r="P148" s="632"/>
      <c r="R148" s="659" t="s">
        <v>506</v>
      </c>
      <c r="S148" s="625" t="s">
        <v>506</v>
      </c>
    </row>
    <row r="149" spans="1:19">
      <c r="A149" s="631"/>
      <c r="B149" s="624">
        <v>143</v>
      </c>
      <c r="C149" s="617" t="s">
        <v>209</v>
      </c>
      <c r="D149" s="741" t="s">
        <v>1778</v>
      </c>
      <c r="E149" s="647"/>
      <c r="F149" s="648"/>
      <c r="G149" s="649"/>
      <c r="H149" s="649"/>
      <c r="I149" s="649"/>
      <c r="J149" s="649"/>
      <c r="K149" s="649">
        <v>2</v>
      </c>
      <c r="L149" s="649"/>
      <c r="M149" s="650">
        <v>0.2</v>
      </c>
      <c r="N149" s="624">
        <v>7</v>
      </c>
      <c r="O149" s="624" t="s">
        <v>593</v>
      </c>
      <c r="P149" s="632" t="s">
        <v>506</v>
      </c>
      <c r="R149" s="652">
        <v>2</v>
      </c>
      <c r="S149" s="624" t="s">
        <v>592</v>
      </c>
    </row>
    <row r="150" spans="1:19">
      <c r="A150" s="631"/>
      <c r="B150" s="624">
        <v>144</v>
      </c>
      <c r="C150" s="618" t="s">
        <v>388</v>
      </c>
      <c r="D150" s="746" t="s">
        <v>399</v>
      </c>
      <c r="E150" s="647"/>
      <c r="F150" s="648"/>
      <c r="G150" s="649"/>
      <c r="H150" s="649"/>
      <c r="I150" s="649"/>
      <c r="J150" s="649">
        <v>1500</v>
      </c>
      <c r="K150" s="649"/>
      <c r="L150" s="649"/>
      <c r="M150" s="650"/>
      <c r="N150" s="624"/>
      <c r="O150" s="624"/>
      <c r="P150" s="632"/>
      <c r="R150" s="652">
        <v>1500</v>
      </c>
      <c r="S150" s="624" t="s">
        <v>583</v>
      </c>
    </row>
    <row r="151" spans="1:19">
      <c r="A151" s="631"/>
      <c r="B151" s="624">
        <v>145</v>
      </c>
      <c r="C151" s="617" t="s">
        <v>400</v>
      </c>
      <c r="D151" s="741" t="s">
        <v>1779</v>
      </c>
      <c r="E151" s="658"/>
      <c r="F151" s="648"/>
      <c r="G151" s="649"/>
      <c r="H151" s="649"/>
      <c r="I151" s="649"/>
      <c r="J151" s="649"/>
      <c r="K151" s="649"/>
      <c r="L151" s="649"/>
      <c r="M151" s="624"/>
      <c r="N151" s="624"/>
      <c r="O151" s="624"/>
      <c r="P151" s="632"/>
      <c r="R151" s="659" t="s">
        <v>506</v>
      </c>
      <c r="S151" s="625" t="s">
        <v>506</v>
      </c>
    </row>
    <row r="152" spans="1:19">
      <c r="A152" s="631"/>
      <c r="B152" s="624">
        <v>146</v>
      </c>
      <c r="C152" s="624" t="s">
        <v>401</v>
      </c>
      <c r="D152" s="741" t="s">
        <v>1651</v>
      </c>
      <c r="E152" s="658"/>
      <c r="F152" s="648"/>
      <c r="G152" s="649"/>
      <c r="H152" s="649"/>
      <c r="I152" s="649"/>
      <c r="J152" s="649">
        <v>5</v>
      </c>
      <c r="K152" s="649"/>
      <c r="L152" s="649"/>
      <c r="M152" s="624"/>
      <c r="N152" s="624"/>
      <c r="O152" s="624"/>
      <c r="P152" s="632"/>
      <c r="R152" s="659"/>
      <c r="S152" s="625"/>
    </row>
    <row r="153" spans="1:19">
      <c r="A153" s="631"/>
      <c r="B153" s="624">
        <v>147</v>
      </c>
      <c r="C153" s="624" t="s">
        <v>402</v>
      </c>
      <c r="D153" s="741" t="s">
        <v>1644</v>
      </c>
      <c r="E153" s="658"/>
      <c r="F153" s="648"/>
      <c r="G153" s="649"/>
      <c r="H153" s="649"/>
      <c r="I153" s="649"/>
      <c r="J153" s="649">
        <v>5</v>
      </c>
      <c r="K153" s="649"/>
      <c r="L153" s="649"/>
      <c r="M153" s="624"/>
      <c r="N153" s="624"/>
      <c r="O153" s="624"/>
      <c r="P153" s="632"/>
      <c r="R153" s="659"/>
      <c r="S153" s="625"/>
    </row>
    <row r="154" spans="1:19">
      <c r="A154" s="631"/>
      <c r="B154" s="624">
        <v>148</v>
      </c>
      <c r="C154" s="624" t="s">
        <v>403</v>
      </c>
      <c r="D154" s="741" t="s">
        <v>1596</v>
      </c>
      <c r="E154" s="658"/>
      <c r="F154" s="648"/>
      <c r="G154" s="649"/>
      <c r="H154" s="649"/>
      <c r="I154" s="649"/>
      <c r="J154" s="649"/>
      <c r="K154" s="649"/>
      <c r="L154" s="649"/>
      <c r="M154" s="624"/>
      <c r="N154" s="624"/>
      <c r="O154" s="624" t="s">
        <v>593</v>
      </c>
      <c r="P154" s="632" t="s">
        <v>506</v>
      </c>
      <c r="R154" s="659" t="s">
        <v>506</v>
      </c>
      <c r="S154" s="625" t="s">
        <v>506</v>
      </c>
    </row>
    <row r="155" spans="1:19">
      <c r="A155" s="631"/>
      <c r="B155" s="624">
        <v>149</v>
      </c>
      <c r="C155" s="624" t="s">
        <v>404</v>
      </c>
      <c r="D155" s="741" t="s">
        <v>1609</v>
      </c>
      <c r="E155" s="658"/>
      <c r="F155" s="648"/>
      <c r="G155" s="649"/>
      <c r="H155" s="649"/>
      <c r="I155" s="649"/>
      <c r="J155" s="649"/>
      <c r="K155" s="649"/>
      <c r="L155" s="649"/>
      <c r="M155" s="624"/>
      <c r="N155" s="624"/>
      <c r="O155" s="624" t="s">
        <v>593</v>
      </c>
      <c r="P155" s="632" t="s">
        <v>506</v>
      </c>
      <c r="R155" s="659" t="s">
        <v>506</v>
      </c>
      <c r="S155" s="625" t="s">
        <v>506</v>
      </c>
    </row>
    <row r="156" spans="1:19">
      <c r="A156" s="631"/>
      <c r="B156" s="624">
        <v>150</v>
      </c>
      <c r="C156" s="624" t="s">
        <v>405</v>
      </c>
      <c r="D156" s="741" t="s">
        <v>1694</v>
      </c>
      <c r="F156" s="648"/>
      <c r="G156" s="649"/>
      <c r="H156" s="649"/>
      <c r="I156" s="649"/>
      <c r="J156" s="649"/>
      <c r="K156" s="649"/>
      <c r="L156" s="649"/>
      <c r="M156" s="650">
        <v>40</v>
      </c>
      <c r="N156" s="624"/>
      <c r="O156" s="624" t="s">
        <v>593</v>
      </c>
      <c r="P156" s="632" t="s">
        <v>506</v>
      </c>
      <c r="R156" s="652">
        <v>40</v>
      </c>
      <c r="S156" s="624" t="s">
        <v>584</v>
      </c>
    </row>
    <row r="157" spans="1:19" ht="30">
      <c r="A157" s="631"/>
      <c r="B157" s="624">
        <v>151</v>
      </c>
      <c r="C157" s="624" t="s">
        <v>173</v>
      </c>
      <c r="D157" s="741" t="s">
        <v>172</v>
      </c>
      <c r="E157" s="653"/>
      <c r="F157" s="648">
        <v>0.1</v>
      </c>
      <c r="G157" s="649"/>
      <c r="H157" s="649"/>
      <c r="I157" s="649">
        <v>20</v>
      </c>
      <c r="J157" s="649"/>
      <c r="K157" s="649">
        <v>2</v>
      </c>
      <c r="L157" s="649"/>
      <c r="M157" s="650">
        <v>1.1000000000000001</v>
      </c>
      <c r="N157" s="624"/>
      <c r="O157" s="624"/>
      <c r="P157" s="632"/>
      <c r="R157" s="652">
        <v>1</v>
      </c>
      <c r="S157" s="657" t="s">
        <v>2434</v>
      </c>
    </row>
    <row r="158" spans="1:19" ht="30">
      <c r="A158" s="631"/>
      <c r="B158" s="624">
        <v>152</v>
      </c>
      <c r="C158" s="624" t="s">
        <v>149</v>
      </c>
      <c r="D158" s="741" t="s">
        <v>1584</v>
      </c>
      <c r="E158" s="653"/>
      <c r="F158" s="648">
        <v>0.1</v>
      </c>
      <c r="G158" s="649"/>
      <c r="H158" s="649"/>
      <c r="I158" s="649">
        <v>100</v>
      </c>
      <c r="J158" s="649">
        <v>150</v>
      </c>
      <c r="K158" s="649">
        <v>3</v>
      </c>
      <c r="L158" s="649"/>
      <c r="M158" s="650">
        <v>0.3</v>
      </c>
      <c r="N158" s="624"/>
      <c r="O158" s="624"/>
      <c r="P158" s="632"/>
      <c r="R158" s="652">
        <v>1</v>
      </c>
      <c r="S158" s="657" t="s">
        <v>2434</v>
      </c>
    </row>
    <row r="159" spans="1:19" ht="30">
      <c r="A159" s="631"/>
      <c r="B159" s="624">
        <v>153</v>
      </c>
      <c r="C159" s="624" t="s">
        <v>177</v>
      </c>
      <c r="D159" s="741" t="s">
        <v>1588</v>
      </c>
      <c r="E159" s="653"/>
      <c r="F159" s="648">
        <v>0.1</v>
      </c>
      <c r="G159" s="649"/>
      <c r="H159" s="649"/>
      <c r="I159" s="649"/>
      <c r="J159" s="649"/>
      <c r="K159" s="649"/>
      <c r="L159" s="649"/>
      <c r="M159" s="650">
        <v>570</v>
      </c>
      <c r="N159" s="624"/>
      <c r="O159" s="624"/>
      <c r="P159" s="632"/>
      <c r="R159" s="652">
        <v>1</v>
      </c>
      <c r="S159" s="657" t="s">
        <v>2434</v>
      </c>
    </row>
    <row r="160" spans="1:19" ht="30">
      <c r="A160" s="631"/>
      <c r="B160" s="624">
        <v>154</v>
      </c>
      <c r="C160" s="624" t="s">
        <v>150</v>
      </c>
      <c r="D160" s="741" t="s">
        <v>1598</v>
      </c>
      <c r="E160" s="653"/>
      <c r="F160" s="648">
        <v>0.1</v>
      </c>
      <c r="G160" s="649"/>
      <c r="H160" s="649"/>
      <c r="I160" s="649"/>
      <c r="J160" s="649"/>
      <c r="K160" s="649"/>
      <c r="L160" s="649"/>
      <c r="M160" s="650"/>
      <c r="N160" s="624"/>
      <c r="O160" s="624"/>
      <c r="P160" s="632"/>
      <c r="R160" s="652">
        <v>1</v>
      </c>
      <c r="S160" s="657" t="s">
        <v>2434</v>
      </c>
    </row>
    <row r="161" spans="1:19" ht="30">
      <c r="A161" s="631"/>
      <c r="B161" s="624">
        <v>155</v>
      </c>
      <c r="C161" s="624" t="s">
        <v>406</v>
      </c>
      <c r="D161" s="741" t="s">
        <v>1607</v>
      </c>
      <c r="E161" s="653"/>
      <c r="F161" s="648">
        <v>0.1</v>
      </c>
      <c r="G161" s="649"/>
      <c r="H161" s="649"/>
      <c r="I161" s="649"/>
      <c r="J161" s="649"/>
      <c r="K161" s="649"/>
      <c r="L161" s="649"/>
      <c r="M161" s="650"/>
      <c r="N161" s="624"/>
      <c r="O161" s="624"/>
      <c r="P161" s="632"/>
      <c r="R161" s="652">
        <v>1</v>
      </c>
      <c r="S161" s="657" t="s">
        <v>2434</v>
      </c>
    </row>
    <row r="162" spans="1:19" ht="30">
      <c r="A162" s="631"/>
      <c r="B162" s="624">
        <v>156</v>
      </c>
      <c r="C162" s="624" t="s">
        <v>151</v>
      </c>
      <c r="D162" s="741" t="s">
        <v>1608</v>
      </c>
      <c r="E162" s="653"/>
      <c r="F162" s="648">
        <v>0.1</v>
      </c>
      <c r="G162" s="649"/>
      <c r="H162" s="649"/>
      <c r="I162" s="649"/>
      <c r="J162" s="649"/>
      <c r="K162" s="649"/>
      <c r="L162" s="649"/>
      <c r="M162" s="650"/>
      <c r="N162" s="624"/>
      <c r="O162" s="624"/>
      <c r="P162" s="632"/>
      <c r="R162" s="652">
        <v>1</v>
      </c>
      <c r="S162" s="657" t="s">
        <v>2434</v>
      </c>
    </row>
    <row r="163" spans="1:19" ht="30">
      <c r="A163" s="631"/>
      <c r="B163" s="624">
        <v>157</v>
      </c>
      <c r="C163" s="624" t="s">
        <v>152</v>
      </c>
      <c r="D163" s="741" t="s">
        <v>1610</v>
      </c>
      <c r="E163" s="653"/>
      <c r="F163" s="648">
        <v>0.1</v>
      </c>
      <c r="G163" s="649"/>
      <c r="H163" s="649"/>
      <c r="I163" s="649"/>
      <c r="J163" s="649"/>
      <c r="K163" s="649"/>
      <c r="L163" s="649"/>
      <c r="M163" s="650"/>
      <c r="N163" s="624"/>
      <c r="O163" s="624"/>
      <c r="P163" s="632"/>
      <c r="R163" s="652">
        <v>1</v>
      </c>
      <c r="S163" s="657" t="s">
        <v>2434</v>
      </c>
    </row>
    <row r="164" spans="1:19" ht="30">
      <c r="A164" s="631"/>
      <c r="B164" s="624">
        <v>158</v>
      </c>
      <c r="C164" s="624" t="s">
        <v>407</v>
      </c>
      <c r="D164" s="741" t="s">
        <v>1615</v>
      </c>
      <c r="E164" s="653"/>
      <c r="F164" s="648">
        <v>0.1</v>
      </c>
      <c r="G164" s="649"/>
      <c r="H164" s="649"/>
      <c r="I164" s="649"/>
      <c r="J164" s="649"/>
      <c r="K164" s="649"/>
      <c r="L164" s="649"/>
      <c r="M164" s="650">
        <v>2800</v>
      </c>
      <c r="N164" s="624"/>
      <c r="O164" s="624"/>
      <c r="P164" s="632"/>
      <c r="R164" s="652">
        <v>1</v>
      </c>
      <c r="S164" s="657" t="s">
        <v>2434</v>
      </c>
    </row>
    <row r="165" spans="1:19" ht="30">
      <c r="A165" s="631"/>
      <c r="B165" s="624">
        <v>159</v>
      </c>
      <c r="C165" s="624" t="s">
        <v>171</v>
      </c>
      <c r="D165" s="741" t="s">
        <v>1616</v>
      </c>
      <c r="E165" s="653"/>
      <c r="F165" s="648">
        <v>0.1</v>
      </c>
      <c r="G165" s="649"/>
      <c r="H165" s="649"/>
      <c r="I165" s="649">
        <v>30</v>
      </c>
      <c r="J165" s="649"/>
      <c r="K165" s="649"/>
      <c r="L165" s="649"/>
      <c r="M165" s="650"/>
      <c r="N165" s="624"/>
      <c r="O165" s="624"/>
      <c r="P165" s="632"/>
      <c r="R165" s="652">
        <v>1</v>
      </c>
      <c r="S165" s="657" t="s">
        <v>2434</v>
      </c>
    </row>
    <row r="166" spans="1:19" ht="30">
      <c r="A166" s="631"/>
      <c r="B166" s="624">
        <v>160</v>
      </c>
      <c r="C166" s="624" t="s">
        <v>153</v>
      </c>
      <c r="D166" s="741" t="s">
        <v>1625</v>
      </c>
      <c r="E166" s="653"/>
      <c r="F166" s="648">
        <v>0.1</v>
      </c>
      <c r="G166" s="649"/>
      <c r="H166" s="649"/>
      <c r="I166" s="649">
        <v>0.6</v>
      </c>
      <c r="J166" s="649"/>
      <c r="K166" s="649"/>
      <c r="L166" s="649"/>
      <c r="M166" s="650">
        <v>8.7999999999999995E-2</v>
      </c>
      <c r="N166" s="624"/>
      <c r="O166" s="624"/>
      <c r="P166" s="632"/>
      <c r="R166" s="652">
        <v>1</v>
      </c>
      <c r="S166" s="657" t="s">
        <v>2434</v>
      </c>
    </row>
    <row r="167" spans="1:19" ht="30">
      <c r="A167" s="631"/>
      <c r="B167" s="624">
        <v>161</v>
      </c>
      <c r="C167" s="624" t="s">
        <v>408</v>
      </c>
      <c r="D167" s="741" t="s">
        <v>1630</v>
      </c>
      <c r="E167" s="653"/>
      <c r="F167" s="648">
        <v>0.1</v>
      </c>
      <c r="G167" s="649"/>
      <c r="H167" s="649"/>
      <c r="I167" s="649"/>
      <c r="J167" s="649"/>
      <c r="K167" s="649"/>
      <c r="L167" s="649"/>
      <c r="M167" s="650"/>
      <c r="N167" s="624"/>
      <c r="O167" s="624"/>
      <c r="P167" s="632"/>
      <c r="R167" s="652">
        <v>1</v>
      </c>
      <c r="S167" s="657" t="s">
        <v>2434</v>
      </c>
    </row>
    <row r="168" spans="1:19" ht="30">
      <c r="A168" s="631"/>
      <c r="B168" s="624">
        <v>162</v>
      </c>
      <c r="C168" s="624" t="s">
        <v>409</v>
      </c>
      <c r="D168" s="741" t="s">
        <v>1631</v>
      </c>
      <c r="E168" s="653"/>
      <c r="F168" s="648">
        <v>0.1</v>
      </c>
      <c r="G168" s="649"/>
      <c r="H168" s="649"/>
      <c r="I168" s="649"/>
      <c r="J168" s="649"/>
      <c r="K168" s="649"/>
      <c r="L168" s="649"/>
      <c r="M168" s="650"/>
      <c r="N168" s="624"/>
      <c r="O168" s="624"/>
      <c r="P168" s="632"/>
      <c r="R168" s="652">
        <v>1</v>
      </c>
      <c r="S168" s="657" t="s">
        <v>2434</v>
      </c>
    </row>
    <row r="169" spans="1:19" ht="30">
      <c r="A169" s="631"/>
      <c r="B169" s="624">
        <v>163</v>
      </c>
      <c r="C169" s="624" t="s">
        <v>410</v>
      </c>
      <c r="D169" s="741" t="s">
        <v>1629</v>
      </c>
      <c r="E169" s="653"/>
      <c r="F169" s="648">
        <v>0.1</v>
      </c>
      <c r="G169" s="649"/>
      <c r="H169" s="649"/>
      <c r="I169" s="649"/>
      <c r="J169" s="649"/>
      <c r="K169" s="649"/>
      <c r="L169" s="649"/>
      <c r="M169" s="650"/>
      <c r="N169" s="624"/>
      <c r="O169" s="624"/>
      <c r="P169" s="632"/>
      <c r="R169" s="652">
        <v>1</v>
      </c>
      <c r="S169" s="657" t="s">
        <v>2434</v>
      </c>
    </row>
    <row r="170" spans="1:19" ht="30">
      <c r="A170" s="631"/>
      <c r="B170" s="624">
        <v>164</v>
      </c>
      <c r="C170" s="624" t="s">
        <v>178</v>
      </c>
      <c r="D170" s="741" t="s">
        <v>1637</v>
      </c>
      <c r="E170" s="653"/>
      <c r="F170" s="648">
        <v>0.1</v>
      </c>
      <c r="G170" s="649"/>
      <c r="H170" s="649"/>
      <c r="I170" s="649"/>
      <c r="J170" s="649"/>
      <c r="K170" s="649"/>
      <c r="L170" s="649"/>
      <c r="M170" s="650">
        <v>570</v>
      </c>
      <c r="N170" s="624"/>
      <c r="O170" s="624"/>
      <c r="P170" s="632"/>
      <c r="R170" s="652">
        <v>1</v>
      </c>
      <c r="S170" s="657" t="s">
        <v>2434</v>
      </c>
    </row>
    <row r="171" spans="1:19" ht="30">
      <c r="A171" s="631"/>
      <c r="B171" s="624">
        <v>165</v>
      </c>
      <c r="C171" s="624" t="s">
        <v>154</v>
      </c>
      <c r="D171" s="741" t="s">
        <v>1161</v>
      </c>
      <c r="E171" s="653"/>
      <c r="F171" s="648">
        <v>0.1</v>
      </c>
      <c r="G171" s="649"/>
      <c r="H171" s="649"/>
      <c r="I171" s="649"/>
      <c r="J171" s="649"/>
      <c r="K171" s="649"/>
      <c r="L171" s="649"/>
      <c r="M171" s="650"/>
      <c r="N171" s="624"/>
      <c r="O171" s="624"/>
      <c r="P171" s="632"/>
      <c r="R171" s="652">
        <v>1</v>
      </c>
      <c r="S171" s="657" t="s">
        <v>2434</v>
      </c>
    </row>
    <row r="172" spans="1:19" ht="30">
      <c r="A172" s="631"/>
      <c r="B172" s="624">
        <v>166</v>
      </c>
      <c r="C172" s="624" t="s">
        <v>155</v>
      </c>
      <c r="D172" s="741" t="s">
        <v>1660</v>
      </c>
      <c r="E172" s="653"/>
      <c r="F172" s="648">
        <v>0.1</v>
      </c>
      <c r="G172" s="649"/>
      <c r="H172" s="649"/>
      <c r="I172" s="649"/>
      <c r="J172" s="649"/>
      <c r="K172" s="649"/>
      <c r="L172" s="649"/>
      <c r="M172" s="650">
        <v>36</v>
      </c>
      <c r="N172" s="624"/>
      <c r="O172" s="624"/>
      <c r="P172" s="632"/>
      <c r="R172" s="652">
        <v>1</v>
      </c>
      <c r="S172" s="657" t="s">
        <v>2434</v>
      </c>
    </row>
    <row r="173" spans="1:19" ht="30">
      <c r="A173" s="631"/>
      <c r="B173" s="624">
        <v>167</v>
      </c>
      <c r="C173" s="624" t="s">
        <v>156</v>
      </c>
      <c r="D173" s="741" t="s">
        <v>1670</v>
      </c>
      <c r="E173" s="653"/>
      <c r="F173" s="648">
        <v>0.1</v>
      </c>
      <c r="G173" s="649"/>
      <c r="H173" s="649"/>
      <c r="I173" s="649"/>
      <c r="J173" s="649"/>
      <c r="K173" s="649"/>
      <c r="L173" s="649"/>
      <c r="M173" s="650"/>
      <c r="N173" s="624"/>
      <c r="O173" s="624"/>
      <c r="P173" s="632"/>
      <c r="R173" s="652">
        <v>1</v>
      </c>
      <c r="S173" s="657" t="s">
        <v>2434</v>
      </c>
    </row>
    <row r="174" spans="1:19" ht="30">
      <c r="A174" s="631"/>
      <c r="B174" s="624">
        <v>168</v>
      </c>
      <c r="C174" s="624" t="s">
        <v>179</v>
      </c>
      <c r="D174" s="741" t="s">
        <v>1674</v>
      </c>
      <c r="E174" s="653"/>
      <c r="F174" s="648">
        <v>0.1</v>
      </c>
      <c r="G174" s="649"/>
      <c r="H174" s="649"/>
      <c r="I174" s="649"/>
      <c r="J174" s="649"/>
      <c r="K174" s="649"/>
      <c r="L174" s="649"/>
      <c r="M174" s="650"/>
      <c r="N174" s="624"/>
      <c r="O174" s="624"/>
      <c r="P174" s="632"/>
      <c r="R174" s="652">
        <v>1</v>
      </c>
      <c r="S174" s="657" t="s">
        <v>2434</v>
      </c>
    </row>
    <row r="175" spans="1:19" ht="30">
      <c r="A175" s="631"/>
      <c r="B175" s="624">
        <v>169</v>
      </c>
      <c r="C175" s="624" t="s">
        <v>157</v>
      </c>
      <c r="D175" s="741" t="s">
        <v>1684</v>
      </c>
      <c r="E175" s="653"/>
      <c r="F175" s="648">
        <v>0.1</v>
      </c>
      <c r="G175" s="649"/>
      <c r="H175" s="649"/>
      <c r="I175" s="649"/>
      <c r="J175" s="649"/>
      <c r="K175" s="649"/>
      <c r="L175" s="649"/>
      <c r="M175" s="650">
        <v>640</v>
      </c>
      <c r="N175" s="624"/>
      <c r="O175" s="624"/>
      <c r="P175" s="632"/>
      <c r="R175" s="652">
        <v>1</v>
      </c>
      <c r="S175" s="657" t="s">
        <v>2434</v>
      </c>
    </row>
    <row r="176" spans="1:19" ht="30">
      <c r="A176" s="631"/>
      <c r="B176" s="624">
        <v>170</v>
      </c>
      <c r="C176" s="624" t="s">
        <v>158</v>
      </c>
      <c r="D176" s="741" t="s">
        <v>1690</v>
      </c>
      <c r="E176" s="653"/>
      <c r="F176" s="648">
        <v>0.1</v>
      </c>
      <c r="G176" s="649"/>
      <c r="H176" s="649"/>
      <c r="I176" s="649">
        <v>9</v>
      </c>
      <c r="J176" s="649"/>
      <c r="K176" s="649"/>
      <c r="L176" s="649"/>
      <c r="M176" s="650"/>
      <c r="N176" s="624"/>
      <c r="O176" s="624"/>
      <c r="P176" s="632"/>
      <c r="R176" s="652">
        <v>1</v>
      </c>
      <c r="S176" s="657" t="s">
        <v>2434</v>
      </c>
    </row>
    <row r="177" spans="1:19" ht="30">
      <c r="A177" s="631"/>
      <c r="B177" s="624">
        <v>171</v>
      </c>
      <c r="C177" s="624" t="s">
        <v>159</v>
      </c>
      <c r="D177" s="741" t="s">
        <v>1693</v>
      </c>
      <c r="E177" s="653"/>
      <c r="F177" s="648">
        <v>0.1</v>
      </c>
      <c r="G177" s="649"/>
      <c r="H177" s="649"/>
      <c r="I177" s="649"/>
      <c r="J177" s="649"/>
      <c r="K177" s="649"/>
      <c r="L177" s="649"/>
      <c r="M177" s="650">
        <v>33</v>
      </c>
      <c r="N177" s="624"/>
      <c r="O177" s="624"/>
      <c r="P177" s="632"/>
      <c r="R177" s="652">
        <v>1</v>
      </c>
      <c r="S177" s="657" t="s">
        <v>2434</v>
      </c>
    </row>
    <row r="178" spans="1:19" ht="30">
      <c r="A178" s="631"/>
      <c r="B178" s="624">
        <v>172</v>
      </c>
      <c r="C178" s="624" t="s">
        <v>160</v>
      </c>
      <c r="D178" s="741" t="s">
        <v>1701</v>
      </c>
      <c r="E178" s="653"/>
      <c r="F178" s="648">
        <v>0.1</v>
      </c>
      <c r="G178" s="649"/>
      <c r="H178" s="649"/>
      <c r="I178" s="649"/>
      <c r="J178" s="649"/>
      <c r="K178" s="649"/>
      <c r="L178" s="649"/>
      <c r="M178" s="650"/>
      <c r="N178" s="624"/>
      <c r="O178" s="624"/>
      <c r="P178" s="632"/>
      <c r="R178" s="652">
        <v>1</v>
      </c>
      <c r="S178" s="657" t="s">
        <v>2434</v>
      </c>
    </row>
    <row r="179" spans="1:19" ht="30">
      <c r="A179" s="631"/>
      <c r="B179" s="624">
        <v>173</v>
      </c>
      <c r="C179" s="624" t="s">
        <v>161</v>
      </c>
      <c r="D179" s="741" t="s">
        <v>1703</v>
      </c>
      <c r="E179" s="653"/>
      <c r="F179" s="648">
        <v>0.1</v>
      </c>
      <c r="G179" s="649"/>
      <c r="H179" s="649"/>
      <c r="I179" s="649"/>
      <c r="J179" s="649"/>
      <c r="K179" s="649"/>
      <c r="L179" s="649"/>
      <c r="M179" s="650"/>
      <c r="N179" s="624"/>
      <c r="O179" s="624"/>
      <c r="P179" s="632"/>
      <c r="R179" s="652">
        <v>1</v>
      </c>
      <c r="S179" s="657" t="s">
        <v>2434</v>
      </c>
    </row>
    <row r="180" spans="1:19" ht="30">
      <c r="A180" s="631"/>
      <c r="B180" s="624">
        <v>174</v>
      </c>
      <c r="C180" s="624" t="s">
        <v>162</v>
      </c>
      <c r="D180" s="741" t="s">
        <v>1704</v>
      </c>
      <c r="E180" s="653"/>
      <c r="F180" s="648">
        <v>0.1</v>
      </c>
      <c r="G180" s="649"/>
      <c r="H180" s="649"/>
      <c r="I180" s="649"/>
      <c r="J180" s="649"/>
      <c r="K180" s="649"/>
      <c r="L180" s="649"/>
      <c r="M180" s="650"/>
      <c r="N180" s="624"/>
      <c r="O180" s="624"/>
      <c r="P180" s="632"/>
      <c r="R180" s="652">
        <v>1</v>
      </c>
      <c r="S180" s="657" t="s">
        <v>2434</v>
      </c>
    </row>
    <row r="181" spans="1:19" ht="30">
      <c r="A181" s="631"/>
      <c r="B181" s="624">
        <v>175</v>
      </c>
      <c r="C181" s="624" t="s">
        <v>163</v>
      </c>
      <c r="D181" s="741" t="s">
        <v>1707</v>
      </c>
      <c r="E181" s="653"/>
      <c r="F181" s="648">
        <v>0.1</v>
      </c>
      <c r="G181" s="649"/>
      <c r="H181" s="649"/>
      <c r="I181" s="649"/>
      <c r="J181" s="649"/>
      <c r="K181" s="649"/>
      <c r="L181" s="649"/>
      <c r="M181" s="650"/>
      <c r="N181" s="624"/>
      <c r="O181" s="624"/>
      <c r="P181" s="632"/>
      <c r="R181" s="652">
        <v>1</v>
      </c>
      <c r="S181" s="657" t="s">
        <v>2434</v>
      </c>
    </row>
    <row r="182" spans="1:19" ht="30">
      <c r="A182" s="631"/>
      <c r="B182" s="624">
        <v>176</v>
      </c>
      <c r="C182" s="625" t="s">
        <v>164</v>
      </c>
      <c r="D182" s="741" t="s">
        <v>1709</v>
      </c>
      <c r="E182" s="653"/>
      <c r="F182" s="648">
        <v>0.1</v>
      </c>
      <c r="G182" s="649"/>
      <c r="H182" s="649"/>
      <c r="I182" s="649">
        <v>10</v>
      </c>
      <c r="J182" s="649"/>
      <c r="K182" s="649"/>
      <c r="L182" s="649"/>
      <c r="M182" s="650">
        <v>2700</v>
      </c>
      <c r="N182" s="624"/>
      <c r="O182" s="624"/>
      <c r="P182" s="632"/>
      <c r="R182" s="652">
        <v>1</v>
      </c>
      <c r="S182" s="657" t="s">
        <v>2434</v>
      </c>
    </row>
    <row r="183" spans="1:19" ht="30">
      <c r="A183" s="631"/>
      <c r="B183" s="624">
        <v>177</v>
      </c>
      <c r="C183" s="625" t="s">
        <v>411</v>
      </c>
      <c r="D183" s="741" t="s">
        <v>1710</v>
      </c>
      <c r="E183" s="653"/>
      <c r="F183" s="648">
        <v>0.1</v>
      </c>
      <c r="G183" s="649"/>
      <c r="H183" s="649"/>
      <c r="I183" s="649"/>
      <c r="J183" s="649"/>
      <c r="K183" s="649"/>
      <c r="L183" s="649"/>
      <c r="M183" s="650"/>
      <c r="N183" s="624"/>
      <c r="O183" s="624"/>
      <c r="P183" s="632"/>
      <c r="R183" s="652">
        <v>1</v>
      </c>
      <c r="S183" s="657" t="s">
        <v>2434</v>
      </c>
    </row>
    <row r="184" spans="1:19" ht="30">
      <c r="A184" s="631"/>
      <c r="B184" s="624">
        <v>178</v>
      </c>
      <c r="C184" s="625" t="s">
        <v>165</v>
      </c>
      <c r="D184" s="741" t="s">
        <v>1713</v>
      </c>
      <c r="E184" s="653"/>
      <c r="F184" s="648">
        <v>0.1</v>
      </c>
      <c r="G184" s="649"/>
      <c r="H184" s="649"/>
      <c r="I184" s="649"/>
      <c r="J184" s="649"/>
      <c r="K184" s="649"/>
      <c r="L184" s="649"/>
      <c r="M184" s="650"/>
      <c r="N184" s="624"/>
      <c r="O184" s="624"/>
      <c r="P184" s="632"/>
      <c r="R184" s="652">
        <v>1</v>
      </c>
      <c r="S184" s="657" t="s">
        <v>2434</v>
      </c>
    </row>
    <row r="185" spans="1:19" ht="30">
      <c r="A185" s="631"/>
      <c r="B185" s="624">
        <v>179</v>
      </c>
      <c r="C185" s="625" t="s">
        <v>109</v>
      </c>
      <c r="D185" s="741" t="s">
        <v>1743</v>
      </c>
      <c r="E185" s="653"/>
      <c r="F185" s="648">
        <v>0.1</v>
      </c>
      <c r="G185" s="649">
        <v>9</v>
      </c>
      <c r="H185" s="649">
        <v>9</v>
      </c>
      <c r="I185" s="649">
        <v>9</v>
      </c>
      <c r="J185" s="649">
        <v>3</v>
      </c>
      <c r="K185" s="649">
        <v>1</v>
      </c>
      <c r="L185" s="649"/>
      <c r="M185" s="650">
        <v>4.1000000000000002E-2</v>
      </c>
      <c r="N185" s="624"/>
      <c r="O185" s="624"/>
      <c r="P185" s="632"/>
      <c r="R185" s="652">
        <v>1</v>
      </c>
      <c r="S185" s="657" t="s">
        <v>2434</v>
      </c>
    </row>
    <row r="186" spans="1:19" ht="30">
      <c r="A186" s="631"/>
      <c r="B186" s="624">
        <v>180</v>
      </c>
      <c r="C186" s="625" t="s">
        <v>412</v>
      </c>
      <c r="D186" s="741" t="s">
        <v>1751</v>
      </c>
      <c r="E186" s="653"/>
      <c r="F186" s="648">
        <v>0.1</v>
      </c>
      <c r="G186" s="649"/>
      <c r="H186" s="649"/>
      <c r="I186" s="649"/>
      <c r="J186" s="649"/>
      <c r="K186" s="649"/>
      <c r="L186" s="649"/>
      <c r="M186" s="650">
        <v>60</v>
      </c>
      <c r="N186" s="624"/>
      <c r="O186" s="624"/>
      <c r="P186" s="632"/>
      <c r="R186" s="652">
        <v>1</v>
      </c>
      <c r="S186" s="657" t="s">
        <v>2434</v>
      </c>
    </row>
    <row r="187" spans="1:19" ht="30">
      <c r="A187" s="631"/>
      <c r="B187" s="624">
        <v>181</v>
      </c>
      <c r="C187" s="624" t="s">
        <v>413</v>
      </c>
      <c r="D187" s="741" t="s">
        <v>1752</v>
      </c>
      <c r="E187" s="653"/>
      <c r="F187" s="648">
        <v>0.1</v>
      </c>
      <c r="G187" s="649"/>
      <c r="H187" s="649"/>
      <c r="I187" s="649"/>
      <c r="J187" s="649"/>
      <c r="K187" s="649"/>
      <c r="L187" s="649"/>
      <c r="M187" s="650">
        <v>250</v>
      </c>
      <c r="N187" s="624"/>
      <c r="O187" s="624"/>
      <c r="P187" s="632"/>
      <c r="R187" s="652">
        <v>1</v>
      </c>
      <c r="S187" s="657" t="s">
        <v>2434</v>
      </c>
    </row>
    <row r="188" spans="1:19" ht="30">
      <c r="A188" s="631"/>
      <c r="B188" s="624">
        <v>182</v>
      </c>
      <c r="C188" s="624" t="s">
        <v>414</v>
      </c>
      <c r="D188" s="741" t="s">
        <v>1754</v>
      </c>
      <c r="E188" s="653"/>
      <c r="F188" s="648">
        <v>0.1</v>
      </c>
      <c r="G188" s="649"/>
      <c r="H188" s="649"/>
      <c r="I188" s="649"/>
      <c r="J188" s="649"/>
      <c r="K188" s="649"/>
      <c r="L188" s="649"/>
      <c r="M188" s="650">
        <v>82</v>
      </c>
      <c r="N188" s="624"/>
      <c r="O188" s="624"/>
      <c r="P188" s="632"/>
      <c r="R188" s="652">
        <v>1</v>
      </c>
      <c r="S188" s="657" t="s">
        <v>2434</v>
      </c>
    </row>
    <row r="189" spans="1:19" ht="30">
      <c r="A189" s="631"/>
      <c r="B189" s="624">
        <v>183</v>
      </c>
      <c r="C189" s="624" t="s">
        <v>166</v>
      </c>
      <c r="D189" s="741" t="s">
        <v>1755</v>
      </c>
      <c r="E189" s="653"/>
      <c r="F189" s="648">
        <v>0.1</v>
      </c>
      <c r="G189" s="649"/>
      <c r="H189" s="649"/>
      <c r="I189" s="649"/>
      <c r="J189" s="649"/>
      <c r="K189" s="649"/>
      <c r="L189" s="649"/>
      <c r="M189" s="650">
        <v>340</v>
      </c>
      <c r="N189" s="624"/>
      <c r="O189" s="624"/>
      <c r="P189" s="632"/>
      <c r="R189" s="652">
        <v>1</v>
      </c>
      <c r="S189" s="657" t="s">
        <v>2434</v>
      </c>
    </row>
    <row r="190" spans="1:19" ht="30">
      <c r="A190" s="631"/>
      <c r="B190" s="624">
        <v>184</v>
      </c>
      <c r="C190" s="624" t="s">
        <v>167</v>
      </c>
      <c r="D190" s="741" t="s">
        <v>1759</v>
      </c>
      <c r="E190" s="653"/>
      <c r="F190" s="648">
        <v>0.1</v>
      </c>
      <c r="G190" s="649"/>
      <c r="H190" s="649"/>
      <c r="I190" s="649"/>
      <c r="J190" s="649"/>
      <c r="K190" s="649"/>
      <c r="L190" s="649"/>
      <c r="M190" s="650"/>
      <c r="N190" s="624"/>
      <c r="O190" s="624"/>
      <c r="P190" s="632"/>
      <c r="R190" s="652">
        <v>1</v>
      </c>
      <c r="S190" s="657" t="s">
        <v>2434</v>
      </c>
    </row>
    <row r="191" spans="1:19" ht="30">
      <c r="A191" s="631"/>
      <c r="B191" s="624">
        <v>185</v>
      </c>
      <c r="C191" s="624" t="s">
        <v>168</v>
      </c>
      <c r="D191" s="741" t="s">
        <v>1765</v>
      </c>
      <c r="E191" s="653"/>
      <c r="F191" s="648">
        <v>0.1</v>
      </c>
      <c r="G191" s="649"/>
      <c r="H191" s="649"/>
      <c r="I191" s="649">
        <v>2</v>
      </c>
      <c r="J191" s="649"/>
      <c r="K191" s="649">
        <v>4</v>
      </c>
      <c r="L191" s="649"/>
      <c r="M191" s="650">
        <v>0.61</v>
      </c>
      <c r="N191" s="624"/>
      <c r="O191" s="624"/>
      <c r="P191" s="632"/>
      <c r="R191" s="652">
        <v>1</v>
      </c>
      <c r="S191" s="657" t="s">
        <v>2434</v>
      </c>
    </row>
    <row r="192" spans="1:19" ht="30">
      <c r="A192" s="631"/>
      <c r="B192" s="624">
        <v>186</v>
      </c>
      <c r="C192" s="624" t="s">
        <v>169</v>
      </c>
      <c r="D192" s="741" t="s">
        <v>1773</v>
      </c>
      <c r="E192" s="653"/>
      <c r="F192" s="648">
        <v>0.1</v>
      </c>
      <c r="G192" s="649"/>
      <c r="H192" s="649"/>
      <c r="I192" s="649">
        <v>7</v>
      </c>
      <c r="J192" s="649"/>
      <c r="K192" s="649"/>
      <c r="L192" s="649"/>
      <c r="M192" s="650"/>
      <c r="N192" s="624"/>
      <c r="O192" s="624"/>
      <c r="P192" s="632"/>
      <c r="R192" s="652">
        <v>1</v>
      </c>
      <c r="S192" s="657" t="s">
        <v>2434</v>
      </c>
    </row>
    <row r="193" spans="1:19" ht="30">
      <c r="A193" s="631"/>
      <c r="B193" s="624">
        <v>187</v>
      </c>
      <c r="C193" s="624" t="s">
        <v>170</v>
      </c>
      <c r="D193" s="741" t="s">
        <v>1774</v>
      </c>
      <c r="E193" s="653"/>
      <c r="F193" s="648">
        <v>0.1</v>
      </c>
      <c r="G193" s="649"/>
      <c r="H193" s="649"/>
      <c r="I193" s="649"/>
      <c r="J193" s="649"/>
      <c r="K193" s="649"/>
      <c r="L193" s="649"/>
      <c r="M193" s="650">
        <v>13</v>
      </c>
      <c r="N193" s="624"/>
      <c r="O193" s="624"/>
      <c r="P193" s="632"/>
      <c r="R193" s="652">
        <v>1</v>
      </c>
      <c r="S193" s="657" t="s">
        <v>2434</v>
      </c>
    </row>
    <row r="194" spans="1:19" ht="30">
      <c r="A194" s="631"/>
      <c r="B194" s="624">
        <v>188</v>
      </c>
      <c r="C194" s="624" t="s">
        <v>142</v>
      </c>
      <c r="D194" s="741" t="s">
        <v>1556</v>
      </c>
      <c r="E194" s="653"/>
      <c r="F194" s="648">
        <v>0.1</v>
      </c>
      <c r="G194" s="649">
        <v>2</v>
      </c>
      <c r="H194" s="649">
        <v>0.1</v>
      </c>
      <c r="I194" s="649"/>
      <c r="J194" s="649">
        <v>0.01</v>
      </c>
      <c r="K194" s="649"/>
      <c r="L194" s="649"/>
      <c r="M194" s="650">
        <v>3.2000000000000001E-2</v>
      </c>
      <c r="N194" s="624"/>
      <c r="O194" s="624"/>
      <c r="P194" s="632"/>
      <c r="R194" s="652">
        <v>1</v>
      </c>
      <c r="S194" s="657" t="s">
        <v>2434</v>
      </c>
    </row>
    <row r="195" spans="1:19" ht="30">
      <c r="A195" s="631"/>
      <c r="B195" s="624">
        <v>189</v>
      </c>
      <c r="C195" s="624" t="s">
        <v>144</v>
      </c>
      <c r="D195" s="749" t="s">
        <v>1553</v>
      </c>
      <c r="E195" s="653"/>
      <c r="F195" s="648">
        <v>0.1</v>
      </c>
      <c r="G195" s="649">
        <v>2</v>
      </c>
      <c r="H195" s="649">
        <v>0.1</v>
      </c>
      <c r="I195" s="649"/>
      <c r="J195" s="649">
        <v>0.01</v>
      </c>
      <c r="K195" s="649"/>
      <c r="L195" s="649"/>
      <c r="M195" s="650">
        <v>4.5999999999999999E-2</v>
      </c>
      <c r="N195" s="624"/>
      <c r="O195" s="624"/>
      <c r="P195" s="632"/>
      <c r="R195" s="652">
        <v>1</v>
      </c>
      <c r="S195" s="657" t="s">
        <v>2434</v>
      </c>
    </row>
    <row r="196" spans="1:19" ht="30">
      <c r="A196" s="631"/>
      <c r="B196" s="624">
        <v>190</v>
      </c>
      <c r="C196" s="624" t="s">
        <v>145</v>
      </c>
      <c r="D196" s="741" t="s">
        <v>1554</v>
      </c>
      <c r="E196" s="653"/>
      <c r="F196" s="648">
        <v>0.1</v>
      </c>
      <c r="G196" s="649">
        <v>2</v>
      </c>
      <c r="H196" s="649">
        <v>0.1</v>
      </c>
      <c r="I196" s="649">
        <v>1</v>
      </c>
      <c r="J196" s="649">
        <v>0.01</v>
      </c>
      <c r="K196" s="649"/>
      <c r="L196" s="649"/>
      <c r="M196" s="650">
        <v>0.23</v>
      </c>
      <c r="N196" s="624"/>
      <c r="O196" s="624"/>
      <c r="P196" s="632"/>
      <c r="R196" s="652">
        <v>1</v>
      </c>
      <c r="S196" s="657" t="s">
        <v>2434</v>
      </c>
    </row>
    <row r="197" spans="1:19" ht="30">
      <c r="A197" s="631"/>
      <c r="B197" s="624">
        <v>191</v>
      </c>
      <c r="C197" s="624" t="s">
        <v>146</v>
      </c>
      <c r="D197" s="749" t="s">
        <v>1590</v>
      </c>
      <c r="E197" s="672"/>
      <c r="F197" s="648">
        <v>0.1</v>
      </c>
      <c r="G197" s="649"/>
      <c r="H197" s="649"/>
      <c r="I197" s="649"/>
      <c r="J197" s="649"/>
      <c r="K197" s="649"/>
      <c r="L197" s="649"/>
      <c r="M197" s="650">
        <v>2.5000000000000001E-2</v>
      </c>
      <c r="N197" s="624"/>
      <c r="O197" s="624"/>
      <c r="P197" s="632"/>
      <c r="R197" s="652">
        <v>1</v>
      </c>
      <c r="S197" s="657" t="s">
        <v>2434</v>
      </c>
    </row>
    <row r="198" spans="1:19" ht="30">
      <c r="A198" s="631"/>
      <c r="B198" s="624">
        <v>192</v>
      </c>
      <c r="C198" s="624" t="s">
        <v>181</v>
      </c>
      <c r="D198" s="741" t="s">
        <v>180</v>
      </c>
      <c r="E198" s="673"/>
      <c r="F198" s="648">
        <v>0.1</v>
      </c>
      <c r="G198" s="649"/>
      <c r="H198" s="649"/>
      <c r="I198" s="649">
        <v>30</v>
      </c>
      <c r="J198" s="649"/>
      <c r="K198" s="649">
        <v>70</v>
      </c>
      <c r="L198" s="649"/>
      <c r="M198" s="650">
        <v>170</v>
      </c>
      <c r="N198" s="624"/>
      <c r="O198" s="624"/>
      <c r="P198" s="632"/>
      <c r="R198" s="652">
        <v>1</v>
      </c>
      <c r="S198" s="657" t="s">
        <v>2434</v>
      </c>
    </row>
    <row r="199" spans="1:19" ht="30">
      <c r="A199" s="631"/>
      <c r="B199" s="624">
        <v>193</v>
      </c>
      <c r="C199" s="624" t="s">
        <v>175</v>
      </c>
      <c r="D199" s="741" t="s">
        <v>1541</v>
      </c>
      <c r="E199" s="673"/>
      <c r="F199" s="648">
        <v>0.1</v>
      </c>
      <c r="G199" s="649"/>
      <c r="H199" s="649"/>
      <c r="I199" s="649"/>
      <c r="J199" s="649"/>
      <c r="K199" s="649"/>
      <c r="L199" s="649"/>
      <c r="M199" s="635"/>
      <c r="N199" s="624"/>
      <c r="O199" s="624"/>
      <c r="P199" s="632"/>
      <c r="R199" s="652">
        <v>1</v>
      </c>
      <c r="S199" s="657" t="s">
        <v>2434</v>
      </c>
    </row>
    <row r="200" spans="1:19" ht="30">
      <c r="A200" s="631"/>
      <c r="B200" s="624">
        <v>194</v>
      </c>
      <c r="C200" s="624" t="s">
        <v>182</v>
      </c>
      <c r="D200" s="741" t="s">
        <v>1696</v>
      </c>
      <c r="E200" s="673"/>
      <c r="F200" s="648">
        <v>0.1</v>
      </c>
      <c r="G200" s="649"/>
      <c r="H200" s="649"/>
      <c r="I200" s="649">
        <v>2</v>
      </c>
      <c r="J200" s="649">
        <v>50</v>
      </c>
      <c r="K200" s="649"/>
      <c r="L200" s="649"/>
      <c r="M200" s="650">
        <v>7.5</v>
      </c>
      <c r="N200" s="624"/>
      <c r="O200" s="624"/>
      <c r="P200" s="632"/>
      <c r="R200" s="652">
        <v>1</v>
      </c>
      <c r="S200" s="657" t="s">
        <v>2434</v>
      </c>
    </row>
    <row r="201" spans="1:19" ht="30">
      <c r="A201" s="631"/>
      <c r="B201" s="624">
        <v>195</v>
      </c>
      <c r="C201" s="624" t="s">
        <v>183</v>
      </c>
      <c r="D201" s="741" t="s">
        <v>1698</v>
      </c>
      <c r="E201" s="673"/>
      <c r="F201" s="648">
        <v>0.1</v>
      </c>
      <c r="G201" s="649"/>
      <c r="H201" s="649"/>
      <c r="I201" s="649">
        <v>10</v>
      </c>
      <c r="J201" s="649"/>
      <c r="K201" s="649"/>
      <c r="L201" s="649"/>
      <c r="M201" s="650">
        <v>16</v>
      </c>
      <c r="N201" s="624"/>
      <c r="O201" s="624"/>
      <c r="P201" s="632"/>
      <c r="R201" s="652">
        <v>1</v>
      </c>
      <c r="S201" s="657" t="s">
        <v>2434</v>
      </c>
    </row>
    <row r="202" spans="1:19" ht="30">
      <c r="A202" s="631"/>
      <c r="B202" s="624">
        <v>196</v>
      </c>
      <c r="C202" s="624" t="s">
        <v>148</v>
      </c>
      <c r="D202" s="741" t="s">
        <v>1634</v>
      </c>
      <c r="E202" s="673"/>
      <c r="F202" s="648">
        <v>0.1</v>
      </c>
      <c r="G202" s="649"/>
      <c r="H202" s="649"/>
      <c r="I202" s="649"/>
      <c r="J202" s="649"/>
      <c r="K202" s="649"/>
      <c r="L202" s="649"/>
      <c r="M202" s="650">
        <v>10</v>
      </c>
      <c r="N202" s="624"/>
      <c r="O202" s="624"/>
      <c r="P202" s="632"/>
      <c r="R202" s="652">
        <v>1</v>
      </c>
      <c r="S202" s="657" t="s">
        <v>2434</v>
      </c>
    </row>
    <row r="203" spans="1:19">
      <c r="A203" s="631"/>
      <c r="B203" s="624">
        <v>197</v>
      </c>
      <c r="C203" s="622" t="s">
        <v>415</v>
      </c>
      <c r="D203" s="741" t="s">
        <v>1682</v>
      </c>
      <c r="F203" s="648"/>
      <c r="G203" s="649">
        <v>180</v>
      </c>
      <c r="H203" s="649">
        <v>180</v>
      </c>
      <c r="I203" s="649"/>
      <c r="J203" s="649"/>
      <c r="K203" s="649"/>
      <c r="L203" s="649"/>
      <c r="M203" s="650">
        <v>1500</v>
      </c>
      <c r="N203" s="624"/>
      <c r="O203" s="624"/>
      <c r="P203" s="632"/>
      <c r="R203" s="652">
        <v>180</v>
      </c>
      <c r="S203" s="624" t="s">
        <v>587</v>
      </c>
    </row>
    <row r="204" spans="1:19">
      <c r="A204" s="631"/>
      <c r="B204" s="624">
        <v>198</v>
      </c>
      <c r="C204" s="624" t="s">
        <v>193</v>
      </c>
      <c r="D204" s="741" t="s">
        <v>1501</v>
      </c>
      <c r="E204" s="673"/>
      <c r="F204" s="648"/>
      <c r="G204" s="649"/>
      <c r="H204" s="649"/>
      <c r="I204" s="649"/>
      <c r="J204" s="649"/>
      <c r="K204" s="649"/>
      <c r="L204" s="649"/>
      <c r="M204" s="624">
        <v>0.24</v>
      </c>
      <c r="N204" s="624"/>
      <c r="O204" s="624">
        <v>1E-3</v>
      </c>
      <c r="P204" s="632">
        <v>6</v>
      </c>
      <c r="R204" s="652">
        <v>0.24</v>
      </c>
      <c r="S204" s="624" t="s">
        <v>584</v>
      </c>
    </row>
    <row r="205" spans="1:19">
      <c r="A205" s="631"/>
      <c r="B205" s="624">
        <v>199</v>
      </c>
      <c r="C205" s="624" t="s">
        <v>194</v>
      </c>
      <c r="D205" s="741" t="s">
        <v>1507</v>
      </c>
      <c r="E205" s="673"/>
      <c r="F205" s="648"/>
      <c r="G205" s="649"/>
      <c r="H205" s="649"/>
      <c r="I205" s="649"/>
      <c r="J205" s="649"/>
      <c r="K205" s="649"/>
      <c r="L205" s="649"/>
      <c r="M205" s="624">
        <v>4.9000000000000002E-2</v>
      </c>
      <c r="N205" s="624"/>
      <c r="O205" s="624">
        <v>4.0000000000000001E-3</v>
      </c>
      <c r="P205" s="632">
        <v>24</v>
      </c>
      <c r="R205" s="652">
        <v>4.9000000000000002E-2</v>
      </c>
      <c r="S205" s="624" t="s">
        <v>584</v>
      </c>
    </row>
    <row r="206" spans="1:19" ht="30">
      <c r="A206" s="631"/>
      <c r="B206" s="624">
        <v>200</v>
      </c>
      <c r="C206" s="624" t="s">
        <v>147</v>
      </c>
      <c r="D206" s="741" t="s">
        <v>1658</v>
      </c>
      <c r="E206" s="673"/>
      <c r="F206" s="648">
        <v>0.1</v>
      </c>
      <c r="G206" s="649"/>
      <c r="H206" s="649"/>
      <c r="I206" s="649"/>
      <c r="J206" s="649"/>
      <c r="K206" s="649"/>
      <c r="L206" s="649"/>
      <c r="M206" s="624">
        <v>0.5</v>
      </c>
      <c r="N206" s="624"/>
      <c r="O206" s="624">
        <v>4.0000000000000003E-5</v>
      </c>
      <c r="P206" s="632">
        <v>0.24000000000000005</v>
      </c>
      <c r="R206" s="652">
        <v>1</v>
      </c>
      <c r="S206" s="657" t="s">
        <v>2434</v>
      </c>
    </row>
    <row r="207" spans="1:19">
      <c r="A207" s="631"/>
      <c r="B207" s="624">
        <v>201</v>
      </c>
      <c r="C207" s="624" t="s">
        <v>65</v>
      </c>
      <c r="D207" s="741" t="s">
        <v>1603</v>
      </c>
      <c r="E207" s="673"/>
      <c r="F207" s="648"/>
      <c r="G207" s="649"/>
      <c r="H207" s="649"/>
      <c r="I207" s="649"/>
      <c r="J207" s="649"/>
      <c r="K207" s="649"/>
      <c r="L207" s="649"/>
      <c r="M207" s="624">
        <v>7.5</v>
      </c>
      <c r="N207" s="624"/>
      <c r="O207" s="624">
        <v>1E-3</v>
      </c>
      <c r="P207" s="632">
        <v>6</v>
      </c>
      <c r="R207" s="652">
        <v>7.5</v>
      </c>
      <c r="S207" s="624" t="s">
        <v>584</v>
      </c>
    </row>
    <row r="208" spans="1:19">
      <c r="A208" s="631"/>
      <c r="B208" s="624">
        <v>202</v>
      </c>
      <c r="C208" s="624" t="s">
        <v>416</v>
      </c>
      <c r="D208" s="634" t="s">
        <v>1720</v>
      </c>
      <c r="E208" s="673"/>
      <c r="F208" s="648"/>
      <c r="G208" s="649"/>
      <c r="H208" s="649"/>
      <c r="I208" s="649"/>
      <c r="J208" s="649"/>
      <c r="K208" s="649"/>
      <c r="L208" s="649"/>
      <c r="M208" s="624">
        <v>60000000</v>
      </c>
      <c r="N208" s="624"/>
      <c r="O208" s="624" t="s">
        <v>593</v>
      </c>
      <c r="P208" s="632" t="s">
        <v>506</v>
      </c>
      <c r="R208" s="652">
        <v>60000000</v>
      </c>
      <c r="S208" s="624" t="s">
        <v>584</v>
      </c>
    </row>
    <row r="209" spans="1:19">
      <c r="A209" s="631"/>
      <c r="B209" s="624">
        <v>203</v>
      </c>
      <c r="C209" s="624" t="s">
        <v>59</v>
      </c>
      <c r="D209" s="741" t="s">
        <v>1563</v>
      </c>
      <c r="E209" s="673"/>
      <c r="F209" s="648"/>
      <c r="G209" s="649"/>
      <c r="H209" s="649"/>
      <c r="I209" s="649"/>
      <c r="J209" s="649"/>
      <c r="K209" s="649"/>
      <c r="L209" s="649"/>
      <c r="M209" s="624">
        <v>140</v>
      </c>
      <c r="N209" s="624">
        <v>15000</v>
      </c>
      <c r="O209" s="624">
        <v>0.9</v>
      </c>
      <c r="P209" s="632">
        <v>5400</v>
      </c>
      <c r="R209" s="652">
        <v>140</v>
      </c>
      <c r="S209" s="624" t="s">
        <v>584</v>
      </c>
    </row>
    <row r="210" spans="1:19">
      <c r="A210" s="631"/>
      <c r="B210" s="624">
        <v>204</v>
      </c>
      <c r="C210" s="624" t="s">
        <v>75</v>
      </c>
      <c r="D210" s="741" t="s">
        <v>1639</v>
      </c>
      <c r="E210" s="673"/>
      <c r="F210" s="648"/>
      <c r="G210" s="649"/>
      <c r="H210" s="649"/>
      <c r="I210" s="649"/>
      <c r="J210" s="649"/>
      <c r="K210" s="649"/>
      <c r="L210" s="649"/>
      <c r="M210" s="624">
        <v>3900</v>
      </c>
      <c r="N210" s="624"/>
      <c r="O210" s="624">
        <v>0.2</v>
      </c>
      <c r="P210" s="632">
        <v>1200.0000000000002</v>
      </c>
      <c r="R210" s="652">
        <v>1200.0000000000002</v>
      </c>
      <c r="S210" s="624" t="s">
        <v>585</v>
      </c>
    </row>
    <row r="211" spans="1:19">
      <c r="A211" s="631"/>
      <c r="B211" s="624">
        <v>205</v>
      </c>
      <c r="C211" s="624" t="s">
        <v>337</v>
      </c>
      <c r="D211" s="741" t="s">
        <v>1663</v>
      </c>
      <c r="E211" s="673"/>
      <c r="F211" s="648">
        <v>0.1</v>
      </c>
      <c r="G211" s="649"/>
      <c r="H211" s="649"/>
      <c r="I211" s="649">
        <v>0.4</v>
      </c>
      <c r="J211" s="649"/>
      <c r="K211" s="649"/>
      <c r="L211" s="649"/>
      <c r="M211" s="624">
        <v>2</v>
      </c>
      <c r="N211" s="624"/>
      <c r="O211" s="624"/>
      <c r="P211" s="632"/>
      <c r="R211" s="652">
        <v>0.1</v>
      </c>
      <c r="S211" s="624" t="s">
        <v>580</v>
      </c>
    </row>
    <row r="212" spans="1:19">
      <c r="A212" s="631"/>
      <c r="B212" s="624">
        <v>206</v>
      </c>
      <c r="C212" s="624" t="s">
        <v>417</v>
      </c>
      <c r="D212" s="634" t="s">
        <v>1772</v>
      </c>
      <c r="E212" s="673"/>
      <c r="F212" s="648"/>
      <c r="G212" s="649"/>
      <c r="H212" s="649"/>
      <c r="I212" s="649"/>
      <c r="J212" s="649"/>
      <c r="K212" s="649"/>
      <c r="L212" s="649"/>
      <c r="M212" s="624"/>
      <c r="N212" s="624">
        <v>50</v>
      </c>
      <c r="O212" s="624" t="s">
        <v>593</v>
      </c>
      <c r="P212" s="632" t="s">
        <v>506</v>
      </c>
      <c r="R212" s="652">
        <v>50</v>
      </c>
      <c r="S212" s="624" t="s">
        <v>594</v>
      </c>
    </row>
    <row r="213" spans="1:19">
      <c r="A213" s="631"/>
      <c r="B213" s="635">
        <v>207</v>
      </c>
      <c r="C213" s="624" t="s">
        <v>418</v>
      </c>
      <c r="D213" s="634" t="s">
        <v>1470</v>
      </c>
      <c r="E213" s="673"/>
      <c r="F213" s="648"/>
      <c r="G213" s="649">
        <v>9</v>
      </c>
      <c r="H213" s="649">
        <v>2.4</v>
      </c>
      <c r="I213" s="649"/>
      <c r="J213" s="649">
        <v>2.5</v>
      </c>
      <c r="K213" s="649"/>
      <c r="L213" s="649"/>
      <c r="M213" s="624"/>
      <c r="N213" s="624"/>
      <c r="O213" s="624"/>
      <c r="P213" s="632"/>
      <c r="R213" s="652">
        <v>9</v>
      </c>
      <c r="S213" s="624" t="s">
        <v>587</v>
      </c>
    </row>
    <row r="214" spans="1:19">
      <c r="A214" s="631"/>
      <c r="B214" s="624">
        <v>208</v>
      </c>
      <c r="C214" s="624" t="s">
        <v>419</v>
      </c>
      <c r="D214" s="634" t="s">
        <v>1678</v>
      </c>
      <c r="E214" s="673"/>
      <c r="F214" s="648"/>
      <c r="G214" s="649"/>
      <c r="H214" s="649"/>
      <c r="I214" s="649"/>
      <c r="J214" s="649"/>
      <c r="K214" s="649"/>
      <c r="L214" s="649"/>
      <c r="M214" s="624"/>
      <c r="N214" s="624"/>
      <c r="O214" s="624">
        <v>8.3000000000000007</v>
      </c>
      <c r="P214" s="632">
        <v>49800</v>
      </c>
      <c r="R214" s="652">
        <v>49800</v>
      </c>
      <c r="S214" s="624" t="s">
        <v>585</v>
      </c>
    </row>
    <row r="215" spans="1:19">
      <c r="A215" s="631"/>
      <c r="B215" s="624">
        <v>209</v>
      </c>
      <c r="C215" s="624" t="s">
        <v>420</v>
      </c>
      <c r="D215" s="634" t="s">
        <v>1632</v>
      </c>
      <c r="E215" s="673"/>
      <c r="F215" s="648"/>
      <c r="G215" s="649"/>
      <c r="H215" s="649"/>
      <c r="I215" s="649"/>
      <c r="J215" s="649"/>
      <c r="K215" s="649"/>
      <c r="L215" s="649"/>
      <c r="M215" s="624"/>
      <c r="N215" s="624"/>
      <c r="O215" s="624">
        <v>8.3000000000000007</v>
      </c>
      <c r="P215" s="632">
        <v>49800</v>
      </c>
      <c r="R215" s="652">
        <v>49800</v>
      </c>
      <c r="S215" s="624" t="s">
        <v>585</v>
      </c>
    </row>
    <row r="216" spans="1:19">
      <c r="A216" s="631"/>
      <c r="B216" s="624">
        <v>210</v>
      </c>
      <c r="C216" s="624" t="s">
        <v>421</v>
      </c>
      <c r="D216" s="634" t="s">
        <v>1753</v>
      </c>
      <c r="E216" s="673"/>
      <c r="F216" s="648"/>
      <c r="G216" s="649"/>
      <c r="H216" s="649"/>
      <c r="I216" s="649"/>
      <c r="J216" s="649"/>
      <c r="K216" s="649"/>
      <c r="L216" s="649"/>
      <c r="M216" s="624"/>
      <c r="N216" s="624"/>
      <c r="O216" s="624">
        <v>8.3000000000000007</v>
      </c>
      <c r="P216" s="632">
        <v>49800</v>
      </c>
      <c r="R216" s="652">
        <v>49800</v>
      </c>
      <c r="S216" s="624" t="s">
        <v>585</v>
      </c>
    </row>
    <row r="217" spans="1:19">
      <c r="A217" s="631"/>
      <c r="B217" s="624">
        <v>211</v>
      </c>
      <c r="C217" s="624" t="s">
        <v>422</v>
      </c>
      <c r="D217" s="634" t="s">
        <v>1478</v>
      </c>
      <c r="E217" s="673"/>
      <c r="F217" s="648"/>
      <c r="G217" s="649"/>
      <c r="H217" s="649"/>
      <c r="I217" s="649"/>
      <c r="J217" s="649"/>
      <c r="K217" s="649"/>
      <c r="L217" s="649"/>
      <c r="M217" s="624"/>
      <c r="N217" s="624"/>
      <c r="O217" s="624">
        <v>0.33</v>
      </c>
      <c r="P217" s="632">
        <v>1980</v>
      </c>
      <c r="R217" s="652">
        <v>1980</v>
      </c>
      <c r="S217" s="624" t="s">
        <v>585</v>
      </c>
    </row>
    <row r="218" spans="1:19">
      <c r="A218" s="631"/>
      <c r="B218" s="624">
        <v>212</v>
      </c>
      <c r="C218" s="624" t="s">
        <v>423</v>
      </c>
      <c r="D218" s="634" t="s">
        <v>1782</v>
      </c>
      <c r="E218" s="673"/>
      <c r="F218" s="648"/>
      <c r="G218" s="649"/>
      <c r="H218" s="649"/>
      <c r="I218" s="649"/>
      <c r="J218" s="649"/>
      <c r="K218" s="649"/>
      <c r="L218" s="649"/>
      <c r="M218" s="624">
        <v>190</v>
      </c>
      <c r="N218" s="624"/>
      <c r="O218" s="624"/>
      <c r="P218" s="632"/>
      <c r="R218" s="652">
        <v>190</v>
      </c>
      <c r="S218" s="624" t="s">
        <v>584</v>
      </c>
    </row>
    <row r="219" spans="1:19">
      <c r="A219" s="631"/>
      <c r="B219" s="624">
        <v>213</v>
      </c>
      <c r="C219" s="624" t="s">
        <v>424</v>
      </c>
      <c r="D219" s="634" t="s">
        <v>1648</v>
      </c>
      <c r="E219" s="673"/>
      <c r="F219" s="648"/>
      <c r="G219" s="649"/>
      <c r="H219" s="649"/>
      <c r="I219" s="649"/>
      <c r="J219" s="649">
        <v>5</v>
      </c>
      <c r="K219" s="649"/>
      <c r="L219" s="649"/>
      <c r="M219" s="624"/>
      <c r="N219" s="624"/>
      <c r="O219" s="624">
        <v>0.1</v>
      </c>
      <c r="P219" s="632">
        <v>600</v>
      </c>
      <c r="Q219" s="820"/>
      <c r="R219" s="652">
        <v>600</v>
      </c>
      <c r="S219" s="624" t="s">
        <v>585</v>
      </c>
    </row>
    <row r="220" spans="1:19">
      <c r="A220" s="631"/>
      <c r="B220" s="624">
        <v>214</v>
      </c>
      <c r="C220" s="624" t="s">
        <v>425</v>
      </c>
      <c r="D220" s="634" t="s">
        <v>1559</v>
      </c>
      <c r="E220" s="673"/>
      <c r="F220" s="648"/>
      <c r="G220" s="649"/>
      <c r="H220" s="649"/>
      <c r="I220" s="649"/>
      <c r="J220" s="649"/>
      <c r="K220" s="649"/>
      <c r="L220" s="649"/>
      <c r="M220" s="624"/>
      <c r="N220" s="624"/>
      <c r="O220" s="624">
        <v>0.03</v>
      </c>
      <c r="P220" s="632">
        <v>180</v>
      </c>
      <c r="R220" s="652">
        <v>180</v>
      </c>
      <c r="S220" s="624" t="s">
        <v>585</v>
      </c>
    </row>
    <row r="221" spans="1:19" ht="30">
      <c r="A221" s="631"/>
      <c r="B221" s="624">
        <v>215</v>
      </c>
      <c r="C221" s="624" t="s">
        <v>426</v>
      </c>
      <c r="D221" s="741" t="s">
        <v>1564</v>
      </c>
      <c r="F221" s="648">
        <v>0.1</v>
      </c>
      <c r="G221" s="649"/>
      <c r="H221" s="649"/>
      <c r="I221" s="649"/>
      <c r="J221" s="649"/>
      <c r="K221" s="649"/>
      <c r="L221" s="649"/>
      <c r="M221" s="624">
        <v>350</v>
      </c>
      <c r="N221" s="624"/>
      <c r="O221" s="624"/>
      <c r="P221" s="632"/>
      <c r="R221" s="652">
        <v>1</v>
      </c>
      <c r="S221" s="657" t="s">
        <v>2434</v>
      </c>
    </row>
    <row r="222" spans="1:19" ht="30">
      <c r="A222" s="631"/>
      <c r="B222" s="624">
        <v>216</v>
      </c>
      <c r="C222" s="624" t="s">
        <v>427</v>
      </c>
      <c r="D222" s="741" t="s">
        <v>1656</v>
      </c>
      <c r="F222" s="648">
        <v>0.1</v>
      </c>
      <c r="G222" s="649"/>
      <c r="H222" s="649"/>
      <c r="I222" s="649"/>
      <c r="J222" s="649"/>
      <c r="K222" s="649">
        <v>20</v>
      </c>
      <c r="L222" s="649"/>
      <c r="M222" s="624">
        <v>44</v>
      </c>
      <c r="N222" s="624"/>
      <c r="O222" s="624"/>
      <c r="P222" s="632"/>
      <c r="R222" s="652">
        <v>1</v>
      </c>
      <c r="S222" s="657" t="s">
        <v>2434</v>
      </c>
    </row>
    <row r="223" spans="1:19" ht="30">
      <c r="A223" s="631"/>
      <c r="B223" s="624">
        <v>217</v>
      </c>
      <c r="C223" s="624" t="s">
        <v>428</v>
      </c>
      <c r="D223" s="741" t="s">
        <v>1657</v>
      </c>
      <c r="F223" s="648">
        <v>0.1</v>
      </c>
      <c r="G223" s="649"/>
      <c r="H223" s="649"/>
      <c r="I223" s="649"/>
      <c r="J223" s="649"/>
      <c r="K223" s="649">
        <v>20</v>
      </c>
      <c r="L223" s="649"/>
      <c r="M223" s="624">
        <v>44</v>
      </c>
      <c r="N223" s="624"/>
      <c r="O223" s="624"/>
      <c r="P223" s="632"/>
      <c r="R223" s="652">
        <v>1</v>
      </c>
      <c r="S223" s="657" t="s">
        <v>2434</v>
      </c>
    </row>
    <row r="224" spans="1:19" ht="30">
      <c r="A224" s="631"/>
      <c r="B224" s="624">
        <v>218</v>
      </c>
      <c r="C224" s="624" t="s">
        <v>429</v>
      </c>
      <c r="D224" s="741" t="s">
        <v>1730</v>
      </c>
      <c r="F224" s="648">
        <v>0.1</v>
      </c>
      <c r="G224" s="649"/>
      <c r="H224" s="649"/>
      <c r="I224" s="649"/>
      <c r="J224" s="649"/>
      <c r="K224" s="649"/>
      <c r="L224" s="649"/>
      <c r="M224" s="624" t="s">
        <v>595</v>
      </c>
      <c r="N224" s="624"/>
      <c r="O224" s="624"/>
      <c r="P224" s="632"/>
      <c r="R224" s="652">
        <v>1</v>
      </c>
      <c r="S224" s="657" t="s">
        <v>2434</v>
      </c>
    </row>
    <row r="225" spans="1:19" ht="33" customHeight="1">
      <c r="A225" s="631"/>
      <c r="B225" s="624">
        <v>219</v>
      </c>
      <c r="C225" s="624" t="s">
        <v>430</v>
      </c>
      <c r="D225" s="741" t="s">
        <v>1733</v>
      </c>
      <c r="F225" s="648">
        <v>0.1</v>
      </c>
      <c r="G225" s="649"/>
      <c r="H225" s="649"/>
      <c r="I225" s="649"/>
      <c r="J225" s="649"/>
      <c r="K225" s="649"/>
      <c r="L225" s="649"/>
      <c r="M225" s="624" t="s">
        <v>595</v>
      </c>
      <c r="N225" s="624"/>
      <c r="O225" s="624"/>
      <c r="P225" s="632"/>
      <c r="R225" s="652">
        <v>1</v>
      </c>
      <c r="S225" s="657" t="s">
        <v>2434</v>
      </c>
    </row>
    <row r="226" spans="1:19" ht="30">
      <c r="A226" s="631"/>
      <c r="B226" s="624">
        <v>220</v>
      </c>
      <c r="C226" s="624" t="s">
        <v>431</v>
      </c>
      <c r="D226" s="741" t="s">
        <v>1679</v>
      </c>
      <c r="F226" s="648">
        <v>0.1</v>
      </c>
      <c r="G226" s="649"/>
      <c r="H226" s="649"/>
      <c r="I226" s="649"/>
      <c r="J226" s="649"/>
      <c r="K226" s="649">
        <v>700</v>
      </c>
      <c r="L226" s="649"/>
      <c r="M226" s="624">
        <v>2000</v>
      </c>
      <c r="N226" s="624"/>
      <c r="O226" s="624"/>
      <c r="P226" s="632"/>
      <c r="R226" s="652">
        <v>1</v>
      </c>
      <c r="S226" s="657" t="s">
        <v>2434</v>
      </c>
    </row>
    <row r="227" spans="1:19" ht="30">
      <c r="A227" s="631"/>
      <c r="B227" s="624">
        <v>221</v>
      </c>
      <c r="C227" s="624" t="s">
        <v>432</v>
      </c>
      <c r="D227" s="741" t="s">
        <v>1716</v>
      </c>
      <c r="F227" s="648">
        <v>0.1</v>
      </c>
      <c r="G227" s="649"/>
      <c r="H227" s="649"/>
      <c r="I227" s="649"/>
      <c r="J227" s="649"/>
      <c r="K227" s="649"/>
      <c r="L227" s="649"/>
      <c r="M227" s="624">
        <v>1600</v>
      </c>
      <c r="N227" s="624"/>
      <c r="O227" s="624"/>
      <c r="P227" s="632"/>
      <c r="R227" s="652">
        <v>1</v>
      </c>
      <c r="S227" s="657" t="s">
        <v>2434</v>
      </c>
    </row>
    <row r="228" spans="1:19" ht="30">
      <c r="A228" s="631"/>
      <c r="B228" s="624">
        <v>222</v>
      </c>
      <c r="C228" s="624" t="s">
        <v>433</v>
      </c>
      <c r="D228" s="741" t="s">
        <v>1604</v>
      </c>
      <c r="F228" s="648">
        <v>0.1</v>
      </c>
      <c r="G228" s="649"/>
      <c r="H228" s="649"/>
      <c r="I228" s="649"/>
      <c r="J228" s="649"/>
      <c r="K228" s="649"/>
      <c r="L228" s="649"/>
      <c r="M228" s="624">
        <v>460</v>
      </c>
      <c r="N228" s="624"/>
      <c r="O228" s="624"/>
      <c r="P228" s="632"/>
      <c r="R228" s="652">
        <v>1</v>
      </c>
      <c r="S228" s="657" t="s">
        <v>2434</v>
      </c>
    </row>
    <row r="229" spans="1:19" ht="30">
      <c r="A229" s="631"/>
      <c r="B229" s="624">
        <v>223</v>
      </c>
      <c r="C229" s="624" t="s">
        <v>434</v>
      </c>
      <c r="D229" s="741" t="s">
        <v>1711</v>
      </c>
      <c r="F229" s="648">
        <v>0.1</v>
      </c>
      <c r="G229" s="649"/>
      <c r="H229" s="649"/>
      <c r="I229" s="649">
        <v>6</v>
      </c>
      <c r="J229" s="649"/>
      <c r="K229" s="649"/>
      <c r="L229" s="649"/>
      <c r="M229" s="624">
        <v>30</v>
      </c>
      <c r="N229" s="624"/>
      <c r="O229" s="624"/>
      <c r="P229" s="632"/>
      <c r="R229" s="652">
        <v>1</v>
      </c>
      <c r="S229" s="657" t="s">
        <v>2434</v>
      </c>
    </row>
    <row r="230" spans="1:19" ht="30">
      <c r="A230" s="631"/>
      <c r="B230" s="624">
        <v>224</v>
      </c>
      <c r="C230" s="624" t="s">
        <v>435</v>
      </c>
      <c r="D230" s="741" t="s">
        <v>1756</v>
      </c>
      <c r="F230" s="648">
        <v>0.1</v>
      </c>
      <c r="G230" s="649"/>
      <c r="H230" s="649"/>
      <c r="I230" s="649"/>
      <c r="J230" s="649"/>
      <c r="K230" s="649"/>
      <c r="L230" s="649"/>
      <c r="M230" s="624" t="s">
        <v>595</v>
      </c>
      <c r="N230" s="624"/>
      <c r="O230" s="624"/>
      <c r="P230" s="632"/>
      <c r="R230" s="652">
        <v>1</v>
      </c>
      <c r="S230" s="657" t="s">
        <v>2434</v>
      </c>
    </row>
    <row r="231" spans="1:19" ht="30">
      <c r="A231" s="631"/>
      <c r="B231" s="624">
        <v>225</v>
      </c>
      <c r="C231" s="624" t="s">
        <v>436</v>
      </c>
      <c r="D231" s="741" t="s">
        <v>1786</v>
      </c>
      <c r="F231" s="648">
        <v>0.1</v>
      </c>
      <c r="G231" s="649"/>
      <c r="H231" s="649"/>
      <c r="I231" s="649"/>
      <c r="J231" s="649"/>
      <c r="K231" s="649"/>
      <c r="L231" s="649"/>
      <c r="M231" s="624">
        <v>11</v>
      </c>
      <c r="N231" s="624"/>
      <c r="O231" s="624"/>
      <c r="P231" s="632"/>
      <c r="R231" s="652">
        <v>1</v>
      </c>
      <c r="S231" s="657" t="s">
        <v>2434</v>
      </c>
    </row>
    <row r="232" spans="1:19" s="589" customFormat="1" ht="30">
      <c r="A232" s="631"/>
      <c r="B232" s="624">
        <v>226</v>
      </c>
      <c r="C232" s="624" t="s">
        <v>437</v>
      </c>
      <c r="D232" s="741" t="s">
        <v>1573</v>
      </c>
      <c r="E232" s="671"/>
      <c r="F232" s="648">
        <v>0.1</v>
      </c>
      <c r="G232" s="649"/>
      <c r="H232" s="649"/>
      <c r="I232" s="649"/>
      <c r="J232" s="649"/>
      <c r="K232" s="649"/>
      <c r="L232" s="649"/>
      <c r="M232" s="624" t="s">
        <v>595</v>
      </c>
      <c r="N232" s="624"/>
      <c r="O232" s="624"/>
      <c r="P232" s="632"/>
      <c r="Q232" s="651"/>
      <c r="R232" s="652">
        <v>1</v>
      </c>
      <c r="S232" s="657" t="s">
        <v>2434</v>
      </c>
    </row>
    <row r="233" spans="1:19" ht="30">
      <c r="A233" s="631"/>
      <c r="B233" s="624">
        <v>227</v>
      </c>
      <c r="C233" s="624" t="s">
        <v>438</v>
      </c>
      <c r="D233" s="741" t="s">
        <v>1626</v>
      </c>
      <c r="F233" s="648">
        <v>0.1</v>
      </c>
      <c r="G233" s="649"/>
      <c r="H233" s="649"/>
      <c r="I233" s="649"/>
      <c r="J233" s="649"/>
      <c r="K233" s="649"/>
      <c r="L233" s="649"/>
      <c r="M233" s="624" t="s">
        <v>595</v>
      </c>
      <c r="N233" s="624"/>
      <c r="O233" s="624"/>
      <c r="P233" s="632"/>
      <c r="R233" s="652">
        <v>1</v>
      </c>
      <c r="S233" s="657" t="s">
        <v>2434</v>
      </c>
    </row>
    <row r="234" spans="1:19" ht="30">
      <c r="A234" s="631"/>
      <c r="B234" s="624">
        <v>228</v>
      </c>
      <c r="C234" s="624" t="s">
        <v>440</v>
      </c>
      <c r="D234" s="741" t="s">
        <v>1633</v>
      </c>
      <c r="F234" s="648">
        <v>0.1</v>
      </c>
      <c r="G234" s="649"/>
      <c r="H234" s="649"/>
      <c r="I234" s="649"/>
      <c r="J234" s="649"/>
      <c r="K234" s="649"/>
      <c r="L234" s="649"/>
      <c r="M234" s="624">
        <v>0.54</v>
      </c>
      <c r="N234" s="624"/>
      <c r="O234" s="624"/>
      <c r="P234" s="632"/>
      <c r="R234" s="652">
        <v>1</v>
      </c>
      <c r="S234" s="657" t="s">
        <v>2434</v>
      </c>
    </row>
    <row r="235" spans="1:19" ht="30">
      <c r="A235" s="631"/>
      <c r="B235" s="624">
        <v>229</v>
      </c>
      <c r="C235" s="624" t="s">
        <v>441</v>
      </c>
      <c r="D235" s="741" t="s">
        <v>1762</v>
      </c>
      <c r="F235" s="648">
        <v>0.1</v>
      </c>
      <c r="G235" s="649"/>
      <c r="H235" s="649"/>
      <c r="I235" s="649"/>
      <c r="J235" s="649"/>
      <c r="K235" s="649"/>
      <c r="L235" s="649"/>
      <c r="M235" s="624">
        <v>380</v>
      </c>
      <c r="N235" s="624"/>
      <c r="O235" s="624"/>
      <c r="P235" s="632"/>
      <c r="R235" s="652">
        <v>1</v>
      </c>
      <c r="S235" s="657" t="s">
        <v>2434</v>
      </c>
    </row>
    <row r="236" spans="1:19" ht="30">
      <c r="A236" s="631"/>
      <c r="B236" s="624">
        <v>230</v>
      </c>
      <c r="C236" s="624" t="s">
        <v>442</v>
      </c>
      <c r="D236" s="741" t="s">
        <v>1666</v>
      </c>
      <c r="F236" s="648">
        <v>0.1</v>
      </c>
      <c r="G236" s="649"/>
      <c r="H236" s="649"/>
      <c r="I236" s="649"/>
      <c r="J236" s="649"/>
      <c r="K236" s="649"/>
      <c r="L236" s="649"/>
      <c r="M236" s="624" t="s">
        <v>595</v>
      </c>
      <c r="N236" s="624"/>
      <c r="O236" s="624"/>
      <c r="P236" s="632"/>
      <c r="R236" s="652">
        <v>1</v>
      </c>
      <c r="S236" s="657" t="s">
        <v>2434</v>
      </c>
    </row>
    <row r="237" spans="1:19" ht="30">
      <c r="A237" s="631"/>
      <c r="B237" s="624">
        <v>231</v>
      </c>
      <c r="C237" s="624" t="s">
        <v>443</v>
      </c>
      <c r="D237" s="741" t="s">
        <v>1669</v>
      </c>
      <c r="F237" s="648">
        <v>0.1</v>
      </c>
      <c r="G237" s="649"/>
      <c r="H237" s="649"/>
      <c r="I237" s="649"/>
      <c r="J237" s="649"/>
      <c r="K237" s="649"/>
      <c r="L237" s="649"/>
      <c r="M237" s="624" t="s">
        <v>595</v>
      </c>
      <c r="N237" s="624"/>
      <c r="O237" s="624"/>
      <c r="P237" s="632"/>
      <c r="R237" s="652">
        <v>1</v>
      </c>
      <c r="S237" s="657" t="s">
        <v>2434</v>
      </c>
    </row>
    <row r="238" spans="1:19" ht="30">
      <c r="A238" s="631"/>
      <c r="B238" s="624">
        <v>232</v>
      </c>
      <c r="C238" s="624" t="s">
        <v>444</v>
      </c>
      <c r="D238" s="741" t="s">
        <v>1729</v>
      </c>
      <c r="F238" s="648">
        <v>0.1</v>
      </c>
      <c r="G238" s="649"/>
      <c r="H238" s="649"/>
      <c r="I238" s="649"/>
      <c r="J238" s="649"/>
      <c r="K238" s="649"/>
      <c r="L238" s="649"/>
      <c r="M238" s="624" t="s">
        <v>595</v>
      </c>
      <c r="N238" s="624"/>
      <c r="O238" s="624"/>
      <c r="P238" s="632"/>
      <c r="R238" s="652">
        <v>1</v>
      </c>
      <c r="S238" s="657" t="s">
        <v>2434</v>
      </c>
    </row>
    <row r="239" spans="1:19" ht="30">
      <c r="A239" s="631"/>
      <c r="B239" s="624">
        <v>233</v>
      </c>
      <c r="C239" s="624" t="s">
        <v>445</v>
      </c>
      <c r="D239" s="741" t="s">
        <v>1741</v>
      </c>
      <c r="F239" s="648">
        <v>0.1</v>
      </c>
      <c r="G239" s="649"/>
      <c r="H239" s="649"/>
      <c r="I239" s="649"/>
      <c r="J239" s="649"/>
      <c r="K239" s="649"/>
      <c r="L239" s="649"/>
      <c r="M239" s="624">
        <v>560</v>
      </c>
      <c r="N239" s="624"/>
      <c r="O239" s="624"/>
      <c r="P239" s="632"/>
      <c r="R239" s="652">
        <v>1</v>
      </c>
      <c r="S239" s="657" t="s">
        <v>2434</v>
      </c>
    </row>
    <row r="240" spans="1:19">
      <c r="A240" s="631"/>
      <c r="B240" s="624">
        <v>234</v>
      </c>
      <c r="C240" s="624" t="s">
        <v>446</v>
      </c>
      <c r="D240" s="741" t="s">
        <v>1764</v>
      </c>
      <c r="F240" s="648"/>
      <c r="G240" s="649"/>
      <c r="H240" s="649"/>
      <c r="I240" s="649"/>
      <c r="J240" s="649"/>
      <c r="K240" s="649"/>
      <c r="L240" s="649"/>
      <c r="M240" s="624"/>
      <c r="N240" s="624"/>
      <c r="O240" s="624"/>
      <c r="P240" s="632"/>
      <c r="R240" s="652"/>
      <c r="S240" s="624"/>
    </row>
    <row r="241" spans="1:19">
      <c r="A241" s="631"/>
      <c r="B241" s="624">
        <v>235</v>
      </c>
      <c r="C241" s="624" t="s">
        <v>447</v>
      </c>
      <c r="D241" s="741" t="s">
        <v>1783</v>
      </c>
      <c r="F241" s="648"/>
      <c r="G241" s="649"/>
      <c r="H241" s="649"/>
      <c r="I241" s="649"/>
      <c r="J241" s="649"/>
      <c r="K241" s="649"/>
      <c r="L241" s="649"/>
      <c r="M241" s="624"/>
      <c r="N241" s="624"/>
      <c r="O241" s="624"/>
      <c r="P241" s="632"/>
      <c r="R241" s="652"/>
      <c r="S241" s="624"/>
    </row>
    <row r="242" spans="1:19" s="207" customFormat="1">
      <c r="A242" s="631"/>
      <c r="B242" s="624">
        <v>237</v>
      </c>
      <c r="C242" s="624" t="s">
        <v>448</v>
      </c>
      <c r="D242" s="741" t="s">
        <v>1671</v>
      </c>
      <c r="E242" s="671"/>
      <c r="F242" s="648"/>
      <c r="G242" s="649"/>
      <c r="H242" s="649"/>
      <c r="I242" s="649"/>
      <c r="J242" s="649"/>
      <c r="K242" s="649"/>
      <c r="L242" s="649"/>
      <c r="M242" s="624">
        <v>40000</v>
      </c>
      <c r="N242" s="624">
        <v>5500</v>
      </c>
      <c r="O242" s="624">
        <v>2</v>
      </c>
      <c r="P242" s="632"/>
      <c r="Q242" s="651"/>
      <c r="R242" s="652">
        <v>40000</v>
      </c>
      <c r="S242" s="624" t="s">
        <v>596</v>
      </c>
    </row>
    <row r="243" spans="1:19" s="207" customFormat="1">
      <c r="A243" s="631"/>
      <c r="B243" s="624">
        <v>238</v>
      </c>
      <c r="C243" s="624" t="s">
        <v>1399</v>
      </c>
      <c r="D243" s="733" t="s">
        <v>1645</v>
      </c>
      <c r="E243" s="671"/>
      <c r="F243" s="624"/>
      <c r="G243" s="624"/>
      <c r="H243" s="624"/>
      <c r="I243" s="624"/>
      <c r="J243" s="624"/>
      <c r="K243" s="624"/>
      <c r="L243" s="624"/>
      <c r="M243" s="624">
        <v>35</v>
      </c>
      <c r="N243" s="624"/>
      <c r="O243" s="650">
        <v>2E-3</v>
      </c>
      <c r="P243" s="861">
        <v>12</v>
      </c>
      <c r="Q243" s="651"/>
      <c r="R243" s="659">
        <v>35</v>
      </c>
      <c r="S243" s="624" t="s">
        <v>584</v>
      </c>
    </row>
    <row r="244" spans="1:19" s="207" customFormat="1">
      <c r="A244" s="631"/>
      <c r="B244" s="624">
        <v>239</v>
      </c>
      <c r="C244" s="624" t="s">
        <v>1400</v>
      </c>
      <c r="D244" s="749" t="s">
        <v>1638</v>
      </c>
      <c r="E244" s="671"/>
      <c r="F244" s="624"/>
      <c r="G244" s="624"/>
      <c r="H244" s="624"/>
      <c r="I244" s="624"/>
      <c r="J244" s="624"/>
      <c r="K244" s="624"/>
      <c r="L244" s="624"/>
      <c r="M244" s="650"/>
      <c r="N244" s="624"/>
      <c r="O244" s="624"/>
      <c r="P244" s="861"/>
      <c r="Q244" s="651"/>
      <c r="R244" s="659"/>
      <c r="S244" s="625"/>
    </row>
    <row r="245" spans="1:19" s="207" customFormat="1">
      <c r="A245" s="631"/>
      <c r="B245" s="624">
        <v>240</v>
      </c>
      <c r="C245" s="624" t="s">
        <v>1401</v>
      </c>
      <c r="D245" s="749" t="s">
        <v>1706</v>
      </c>
      <c r="E245" s="671"/>
      <c r="F245" s="624"/>
      <c r="G245" s="624"/>
      <c r="H245" s="624"/>
      <c r="I245" s="624"/>
      <c r="J245" s="624"/>
      <c r="K245" s="624"/>
      <c r="L245" s="624"/>
      <c r="M245" s="650"/>
      <c r="N245" s="624"/>
      <c r="O245" s="624"/>
      <c r="P245" s="861"/>
      <c r="Q245" s="651"/>
      <c r="R245" s="659"/>
      <c r="S245" s="625"/>
    </row>
    <row r="246" spans="1:19" s="207" customFormat="1">
      <c r="A246" s="631"/>
      <c r="B246" s="624">
        <v>241</v>
      </c>
      <c r="C246" s="624" t="s">
        <v>1402</v>
      </c>
      <c r="D246" s="749" t="s">
        <v>1434</v>
      </c>
      <c r="E246" s="671"/>
      <c r="F246" s="624"/>
      <c r="G246" s="624"/>
      <c r="H246" s="624"/>
      <c r="I246" s="624"/>
      <c r="J246" s="624"/>
      <c r="K246" s="624"/>
      <c r="L246" s="624"/>
      <c r="M246" s="650">
        <v>4.7</v>
      </c>
      <c r="N246" s="624"/>
      <c r="O246" s="650">
        <v>5.5500000000000001E-5</v>
      </c>
      <c r="P246" s="861">
        <v>0.33300000000000002</v>
      </c>
      <c r="Q246" s="651"/>
      <c r="R246" s="659">
        <v>4.7</v>
      </c>
      <c r="S246" s="624" t="s">
        <v>584</v>
      </c>
    </row>
    <row r="247" spans="1:19" s="207" customFormat="1">
      <c r="A247" s="631"/>
      <c r="B247" s="624">
        <v>242</v>
      </c>
      <c r="C247" s="624" t="s">
        <v>1403</v>
      </c>
      <c r="D247" s="749" t="s">
        <v>1677</v>
      </c>
      <c r="E247" s="671"/>
      <c r="F247" s="624"/>
      <c r="G247" s="624"/>
      <c r="H247" s="624"/>
      <c r="I247" s="624"/>
      <c r="J247" s="624"/>
      <c r="K247" s="624"/>
      <c r="L247" s="624"/>
      <c r="M247" s="650"/>
      <c r="N247" s="624"/>
      <c r="O247" s="624"/>
      <c r="P247" s="632"/>
      <c r="Q247" s="651"/>
      <c r="R247" s="659"/>
      <c r="S247" s="625"/>
    </row>
    <row r="248" spans="1:19" s="207" customFormat="1">
      <c r="A248" s="631"/>
      <c r="B248" s="624">
        <v>243</v>
      </c>
      <c r="C248" s="624" t="s">
        <v>1424</v>
      </c>
      <c r="D248" s="733" t="s">
        <v>1502</v>
      </c>
      <c r="E248" s="671"/>
      <c r="F248" s="648"/>
      <c r="G248" s="649"/>
      <c r="H248" s="649"/>
      <c r="I248" s="649"/>
      <c r="J248" s="649"/>
      <c r="K248" s="649"/>
      <c r="L248" s="649"/>
      <c r="M248" s="624"/>
      <c r="N248" s="624"/>
      <c r="O248" s="624"/>
      <c r="P248" s="632"/>
      <c r="Q248" s="651"/>
      <c r="R248" s="652"/>
      <c r="S248" s="624"/>
    </row>
    <row r="249" spans="1:19" s="227" customFormat="1">
      <c r="A249" s="631"/>
      <c r="B249" s="622">
        <v>244</v>
      </c>
      <c r="C249" s="617" t="s">
        <v>1435</v>
      </c>
      <c r="D249" s="741" t="s">
        <v>1444</v>
      </c>
      <c r="E249" s="671"/>
      <c r="F249" s="648"/>
      <c r="G249" s="649"/>
      <c r="H249" s="649"/>
      <c r="I249" s="649"/>
      <c r="J249" s="649"/>
      <c r="K249" s="649"/>
      <c r="L249" s="649"/>
      <c r="M249" s="624"/>
      <c r="N249" s="624"/>
      <c r="O249" s="624"/>
      <c r="P249" s="632"/>
      <c r="Q249" s="651"/>
      <c r="R249" s="652"/>
      <c r="S249" s="624"/>
    </row>
    <row r="250" spans="1:19" s="227" customFormat="1">
      <c r="A250" s="631"/>
      <c r="B250" s="622">
        <v>245</v>
      </c>
      <c r="C250" s="617" t="s">
        <v>1436</v>
      </c>
      <c r="D250" s="741" t="s">
        <v>1485</v>
      </c>
      <c r="E250" s="671"/>
      <c r="F250" s="648"/>
      <c r="G250" s="649"/>
      <c r="H250" s="649"/>
      <c r="I250" s="649"/>
      <c r="J250" s="649"/>
      <c r="K250" s="649"/>
      <c r="L250" s="649"/>
      <c r="M250" s="624"/>
      <c r="N250" s="624"/>
      <c r="O250" s="624"/>
      <c r="P250" s="632"/>
      <c r="Q250" s="651"/>
      <c r="R250" s="652"/>
      <c r="S250" s="624"/>
    </row>
    <row r="251" spans="1:19" s="227" customFormat="1">
      <c r="A251" s="631"/>
      <c r="B251" s="622">
        <v>246</v>
      </c>
      <c r="C251" s="617" t="s">
        <v>1437</v>
      </c>
      <c r="D251" s="741" t="s">
        <v>1530</v>
      </c>
      <c r="E251" s="671"/>
      <c r="F251" s="648"/>
      <c r="G251" s="649"/>
      <c r="H251" s="649"/>
      <c r="I251" s="649"/>
      <c r="J251" s="649"/>
      <c r="K251" s="649"/>
      <c r="L251" s="649"/>
      <c r="M251" s="624"/>
      <c r="N251" s="624"/>
      <c r="O251" s="624"/>
      <c r="P251" s="632"/>
      <c r="Q251" s="651"/>
      <c r="R251" s="652"/>
      <c r="S251" s="624"/>
    </row>
    <row r="252" spans="1:19" s="227" customFormat="1">
      <c r="A252" s="631"/>
      <c r="B252" s="622">
        <v>247</v>
      </c>
      <c r="C252" s="617" t="s">
        <v>1438</v>
      </c>
      <c r="D252" s="741" t="s">
        <v>1473</v>
      </c>
      <c r="E252" s="671"/>
      <c r="F252" s="648"/>
      <c r="G252" s="649"/>
      <c r="H252" s="649"/>
      <c r="I252" s="649"/>
      <c r="J252" s="649"/>
      <c r="K252" s="649"/>
      <c r="L252" s="649"/>
      <c r="M252" s="624"/>
      <c r="N252" s="624"/>
      <c r="O252" s="624"/>
      <c r="P252" s="632"/>
      <c r="Q252" s="651"/>
      <c r="R252" s="652"/>
      <c r="S252" s="624"/>
    </row>
    <row r="253" spans="1:19" s="227" customFormat="1">
      <c r="A253" s="631"/>
      <c r="B253" s="622">
        <v>248</v>
      </c>
      <c r="C253" s="617" t="s">
        <v>1439</v>
      </c>
      <c r="D253" s="741" t="s">
        <v>1446</v>
      </c>
      <c r="E253" s="671"/>
      <c r="F253" s="648"/>
      <c r="G253" s="649"/>
      <c r="H253" s="649"/>
      <c r="I253" s="649"/>
      <c r="J253" s="649"/>
      <c r="K253" s="649"/>
      <c r="L253" s="649"/>
      <c r="M253" s="624"/>
      <c r="N253" s="624"/>
      <c r="O253" s="624"/>
      <c r="P253" s="632"/>
      <c r="Q253" s="651"/>
      <c r="R253" s="652"/>
      <c r="S253" s="624"/>
    </row>
    <row r="254" spans="1:19" s="227" customFormat="1">
      <c r="A254" s="631"/>
      <c r="B254" s="622">
        <v>249</v>
      </c>
      <c r="C254" s="617" t="s">
        <v>1440</v>
      </c>
      <c r="D254" s="741" t="s">
        <v>1448</v>
      </c>
      <c r="E254" s="671"/>
      <c r="F254" s="648"/>
      <c r="G254" s="649"/>
      <c r="H254" s="649"/>
      <c r="I254" s="649"/>
      <c r="J254" s="649"/>
      <c r="K254" s="649"/>
      <c r="L254" s="649"/>
      <c r="M254" s="624"/>
      <c r="N254" s="624"/>
      <c r="O254" s="624"/>
      <c r="P254" s="632"/>
      <c r="Q254" s="651"/>
      <c r="R254" s="652"/>
      <c r="S254" s="624"/>
    </row>
    <row r="255" spans="1:19" s="227" customFormat="1">
      <c r="A255" s="631"/>
      <c r="B255" s="622">
        <v>250</v>
      </c>
      <c r="C255" s="617" t="s">
        <v>1441</v>
      </c>
      <c r="D255" s="741" t="s">
        <v>1534</v>
      </c>
      <c r="E255" s="671"/>
      <c r="F255" s="648"/>
      <c r="G255" s="649"/>
      <c r="H255" s="649"/>
      <c r="I255" s="649"/>
      <c r="J255" s="649"/>
      <c r="K255" s="649"/>
      <c r="L255" s="649"/>
      <c r="M255" s="624"/>
      <c r="N255" s="624"/>
      <c r="O255" s="624"/>
      <c r="P255" s="632"/>
      <c r="Q255" s="651"/>
      <c r="R255" s="652"/>
      <c r="S255" s="624"/>
    </row>
    <row r="256" spans="1:19" s="227" customFormat="1">
      <c r="A256" s="631"/>
      <c r="B256" s="622">
        <v>251</v>
      </c>
      <c r="C256" s="617" t="s">
        <v>1442</v>
      </c>
      <c r="D256" s="741" t="s">
        <v>1524</v>
      </c>
      <c r="E256" s="671"/>
      <c r="F256" s="648"/>
      <c r="G256" s="649"/>
      <c r="H256" s="649"/>
      <c r="I256" s="649"/>
      <c r="J256" s="649"/>
      <c r="K256" s="649"/>
      <c r="L256" s="649"/>
      <c r="M256" s="624"/>
      <c r="N256" s="624"/>
      <c r="O256" s="624"/>
      <c r="P256" s="632"/>
      <c r="Q256" s="651"/>
      <c r="R256" s="652"/>
      <c r="S256" s="624"/>
    </row>
    <row r="257" spans="1:19" s="227" customFormat="1">
      <c r="A257" s="631"/>
      <c r="B257" s="622">
        <v>252</v>
      </c>
      <c r="C257" s="617" t="s">
        <v>1443</v>
      </c>
      <c r="D257" s="741" t="s">
        <v>1447</v>
      </c>
      <c r="E257" s="671"/>
      <c r="F257" s="648"/>
      <c r="G257" s="649"/>
      <c r="H257" s="649"/>
      <c r="I257" s="649"/>
      <c r="J257" s="649"/>
      <c r="K257" s="649"/>
      <c r="L257" s="649"/>
      <c r="M257" s="624"/>
      <c r="N257" s="624"/>
      <c r="O257" s="624"/>
      <c r="P257" s="632"/>
      <c r="Q257" s="651"/>
      <c r="R257" s="652"/>
      <c r="S257" s="624"/>
    </row>
    <row r="258" spans="1:19" s="227" customFormat="1">
      <c r="A258" s="631"/>
      <c r="B258" s="624">
        <v>253</v>
      </c>
      <c r="C258" s="624" t="s">
        <v>1450</v>
      </c>
      <c r="D258" s="748" t="s">
        <v>1451</v>
      </c>
      <c r="E258" s="671"/>
      <c r="F258" s="648"/>
      <c r="G258" s="649"/>
      <c r="H258" s="649"/>
      <c r="I258" s="649"/>
      <c r="J258" s="649"/>
      <c r="K258" s="649"/>
      <c r="L258" s="649"/>
      <c r="M258" s="624">
        <v>1500</v>
      </c>
      <c r="N258" s="624"/>
      <c r="O258" s="624"/>
      <c r="P258" s="632"/>
      <c r="Q258" s="651"/>
      <c r="R258" s="652">
        <v>1500</v>
      </c>
      <c r="S258" s="624" t="s">
        <v>584</v>
      </c>
    </row>
    <row r="259" spans="1:19" s="227" customFormat="1">
      <c r="A259" s="631"/>
      <c r="B259" s="617">
        <v>254</v>
      </c>
      <c r="C259" s="732" t="s">
        <v>1798</v>
      </c>
      <c r="D259" s="750" t="s">
        <v>1802</v>
      </c>
      <c r="E259" s="671"/>
      <c r="F259" s="648"/>
      <c r="G259" s="649"/>
      <c r="H259" s="649"/>
      <c r="I259" s="649"/>
      <c r="J259" s="649"/>
      <c r="K259" s="649"/>
      <c r="L259" s="649"/>
      <c r="M259" s="624"/>
      <c r="N259" s="624"/>
      <c r="O259" s="624"/>
      <c r="P259" s="632"/>
      <c r="Q259" s="651"/>
      <c r="R259" s="652" t="s">
        <v>1807</v>
      </c>
      <c r="S259" s="624"/>
    </row>
    <row r="260" spans="1:19" s="227" customFormat="1">
      <c r="A260" s="631"/>
      <c r="B260" s="617">
        <v>255</v>
      </c>
      <c r="C260" s="732" t="s">
        <v>1799</v>
      </c>
      <c r="D260" s="750" t="s">
        <v>1803</v>
      </c>
      <c r="E260" s="671"/>
      <c r="F260" s="648"/>
      <c r="G260" s="649"/>
      <c r="H260" s="649"/>
      <c r="I260" s="649"/>
      <c r="J260" s="649"/>
      <c r="K260" s="649"/>
      <c r="L260" s="649"/>
      <c r="M260" s="624"/>
      <c r="N260" s="624"/>
      <c r="O260" s="624"/>
      <c r="P260" s="632"/>
      <c r="Q260" s="651"/>
      <c r="R260" s="652" t="s">
        <v>1807</v>
      </c>
      <c r="S260" s="624"/>
    </row>
    <row r="261" spans="1:19" s="207" customFormat="1">
      <c r="A261" s="631"/>
      <c r="B261" s="617">
        <v>256</v>
      </c>
      <c r="C261" s="732" t="s">
        <v>1800</v>
      </c>
      <c r="D261" s="750" t="s">
        <v>1804</v>
      </c>
      <c r="E261" s="671"/>
      <c r="F261" s="648"/>
      <c r="G261" s="649"/>
      <c r="H261" s="649"/>
      <c r="I261" s="649"/>
      <c r="J261" s="649"/>
      <c r="K261" s="649"/>
      <c r="L261" s="649"/>
      <c r="M261" s="624"/>
      <c r="N261" s="624"/>
      <c r="O261" s="624"/>
      <c r="P261" s="632"/>
      <c r="Q261" s="651"/>
      <c r="R261" s="652" t="s">
        <v>1807</v>
      </c>
      <c r="S261" s="624"/>
    </row>
    <row r="262" spans="1:19" s="207" customFormat="1">
      <c r="A262" s="631"/>
      <c r="B262" s="617">
        <v>257</v>
      </c>
      <c r="C262" s="732" t="s">
        <v>1801</v>
      </c>
      <c r="D262" s="750" t="s">
        <v>1805</v>
      </c>
      <c r="E262" s="671"/>
      <c r="F262" s="648"/>
      <c r="G262" s="649"/>
      <c r="H262" s="649"/>
      <c r="I262" s="649"/>
      <c r="J262" s="649"/>
      <c r="K262" s="649"/>
      <c r="L262" s="649"/>
      <c r="M262" s="624"/>
      <c r="N262" s="624"/>
      <c r="O262" s="624"/>
      <c r="P262" s="632"/>
      <c r="Q262" s="651"/>
      <c r="R262" s="652" t="s">
        <v>1807</v>
      </c>
      <c r="S262" s="624"/>
    </row>
    <row r="263" spans="1:19" s="439" customFormat="1">
      <c r="A263" s="631"/>
      <c r="B263" s="617">
        <v>258</v>
      </c>
      <c r="C263" s="624" t="s">
        <v>1899</v>
      </c>
      <c r="D263" s="633" t="s">
        <v>1898</v>
      </c>
      <c r="E263" s="671"/>
      <c r="F263" s="648"/>
      <c r="G263" s="649"/>
      <c r="H263" s="649"/>
      <c r="I263" s="649"/>
      <c r="J263" s="649"/>
      <c r="K263" s="649"/>
      <c r="L263" s="649"/>
      <c r="M263" s="624">
        <v>770</v>
      </c>
      <c r="N263" s="624"/>
      <c r="O263" s="624">
        <v>4.0000000000000002E-4</v>
      </c>
      <c r="P263" s="632">
        <v>2.4</v>
      </c>
      <c r="Q263" s="820"/>
      <c r="R263" s="652">
        <v>770</v>
      </c>
      <c r="S263" s="652" t="s">
        <v>2367</v>
      </c>
    </row>
    <row r="264" spans="1:19" s="439" customFormat="1">
      <c r="A264" s="631"/>
      <c r="B264" s="617">
        <v>259</v>
      </c>
      <c r="C264" s="622" t="s">
        <v>1918</v>
      </c>
      <c r="D264" s="621" t="s">
        <v>1922</v>
      </c>
      <c r="E264" s="671"/>
      <c r="F264" s="648"/>
      <c r="G264" s="649"/>
      <c r="H264" s="649"/>
      <c r="I264" s="649"/>
      <c r="J264" s="649"/>
      <c r="K264" s="649"/>
      <c r="L264" s="649"/>
      <c r="M264" s="624">
        <v>0.33</v>
      </c>
      <c r="N264" s="624"/>
      <c r="O264" s="624">
        <v>6.9999999999999999E-4</v>
      </c>
      <c r="P264" s="632">
        <v>4.2</v>
      </c>
      <c r="Q264" s="820"/>
      <c r="R264" s="652">
        <v>0.33</v>
      </c>
      <c r="S264" s="652" t="s">
        <v>2367</v>
      </c>
    </row>
    <row r="265" spans="1:19" s="439" customFormat="1">
      <c r="A265" s="631"/>
      <c r="B265" s="617">
        <v>260</v>
      </c>
      <c r="C265" s="622" t="s">
        <v>1919</v>
      </c>
      <c r="D265" s="621" t="s">
        <v>1924</v>
      </c>
      <c r="E265" s="671"/>
      <c r="F265" s="648"/>
      <c r="G265" s="649"/>
      <c r="H265" s="649"/>
      <c r="I265" s="649"/>
      <c r="J265" s="649"/>
      <c r="K265" s="649"/>
      <c r="L265" s="649"/>
      <c r="M265" s="624"/>
      <c r="N265" s="624"/>
      <c r="O265" s="624"/>
      <c r="P265" s="632"/>
      <c r="Q265" s="820"/>
      <c r="R265" s="652" t="s">
        <v>506</v>
      </c>
      <c r="S265" s="624" t="s">
        <v>506</v>
      </c>
    </row>
    <row r="266" spans="1:19" s="439" customFormat="1">
      <c r="A266" s="631"/>
      <c r="B266" s="617">
        <v>261</v>
      </c>
      <c r="C266" s="622" t="s">
        <v>1925</v>
      </c>
      <c r="D266" s="621" t="s">
        <v>1951</v>
      </c>
      <c r="E266" s="671"/>
      <c r="F266" s="648"/>
      <c r="G266" s="649"/>
      <c r="H266" s="649"/>
      <c r="I266" s="649"/>
      <c r="J266" s="649"/>
      <c r="K266" s="649"/>
      <c r="L266" s="649"/>
      <c r="M266" s="624"/>
      <c r="N266" s="624"/>
      <c r="O266" s="624">
        <v>0.5</v>
      </c>
      <c r="P266" s="632">
        <v>3000</v>
      </c>
      <c r="Q266" s="820"/>
      <c r="R266" s="652">
        <v>3000</v>
      </c>
      <c r="S266" s="624" t="s">
        <v>585</v>
      </c>
    </row>
    <row r="267" spans="1:19" s="439" customFormat="1">
      <c r="A267" s="631"/>
      <c r="B267" s="617">
        <v>262</v>
      </c>
      <c r="C267" s="622" t="s">
        <v>1927</v>
      </c>
      <c r="D267" s="621" t="s">
        <v>1926</v>
      </c>
      <c r="E267" s="671"/>
      <c r="F267" s="624"/>
      <c r="G267" s="624"/>
      <c r="H267" s="624"/>
      <c r="I267" s="624"/>
      <c r="J267" s="624"/>
      <c r="K267" s="624"/>
      <c r="L267" s="624"/>
      <c r="M267" s="624"/>
      <c r="N267" s="624"/>
      <c r="O267" s="624"/>
      <c r="P267" s="632"/>
      <c r="Q267" s="820"/>
      <c r="R267" s="652"/>
      <c r="S267" s="624"/>
    </row>
    <row r="268" spans="1:19" s="439" customFormat="1">
      <c r="A268" s="631"/>
      <c r="B268" s="617">
        <v>263</v>
      </c>
      <c r="C268" s="622" t="s">
        <v>1929</v>
      </c>
      <c r="D268" s="621" t="s">
        <v>1928</v>
      </c>
      <c r="E268" s="671"/>
      <c r="F268" s="624"/>
      <c r="G268" s="624"/>
      <c r="H268" s="624"/>
      <c r="I268" s="624"/>
      <c r="J268" s="624"/>
      <c r="K268" s="624"/>
      <c r="L268" s="624"/>
      <c r="M268" s="624"/>
      <c r="N268" s="624"/>
      <c r="O268" s="624"/>
      <c r="P268" s="632"/>
      <c r="Q268" s="820"/>
      <c r="R268" s="652"/>
      <c r="S268" s="624"/>
    </row>
    <row r="269" spans="1:19" s="439" customFormat="1">
      <c r="A269" s="631"/>
      <c r="B269" s="617">
        <v>264</v>
      </c>
      <c r="C269" s="622" t="s">
        <v>1930</v>
      </c>
      <c r="D269" s="633" t="s">
        <v>1952</v>
      </c>
      <c r="E269" s="671"/>
      <c r="F269" s="624"/>
      <c r="G269" s="624"/>
      <c r="H269" s="624"/>
      <c r="I269" s="624"/>
      <c r="J269" s="624"/>
      <c r="K269" s="624"/>
      <c r="L269" s="624"/>
      <c r="M269" s="624">
        <v>5900</v>
      </c>
      <c r="N269" s="624"/>
      <c r="O269" s="624">
        <v>0.3</v>
      </c>
      <c r="P269" s="632">
        <v>1800</v>
      </c>
      <c r="Q269" s="820"/>
      <c r="R269" s="652">
        <v>5900</v>
      </c>
      <c r="S269" s="652" t="s">
        <v>2367</v>
      </c>
    </row>
    <row r="270" spans="1:19" s="439" customFormat="1">
      <c r="A270" s="631"/>
      <c r="B270" s="617">
        <v>265</v>
      </c>
      <c r="C270" s="622" t="s">
        <v>1932</v>
      </c>
      <c r="D270" s="633" t="s">
        <v>1954</v>
      </c>
      <c r="E270" s="671"/>
      <c r="F270" s="624"/>
      <c r="G270" s="624"/>
      <c r="H270" s="624"/>
      <c r="I270" s="624"/>
      <c r="J270" s="624"/>
      <c r="K270" s="624"/>
      <c r="L270" s="624"/>
      <c r="M270" s="624"/>
      <c r="N270" s="624"/>
      <c r="O270" s="862">
        <v>0.8571428571428571</v>
      </c>
      <c r="P270" s="863">
        <v>5142.8571428571422</v>
      </c>
      <c r="Q270" s="820"/>
      <c r="R270" s="864">
        <v>5142.8571428571422</v>
      </c>
      <c r="S270" s="817" t="s">
        <v>585</v>
      </c>
    </row>
    <row r="271" spans="1:19" s="534" customFormat="1" ht="30">
      <c r="A271" s="631"/>
      <c r="B271" s="617"/>
      <c r="C271" s="622" t="s">
        <v>1933</v>
      </c>
      <c r="D271" s="865" t="s">
        <v>2435</v>
      </c>
      <c r="E271" s="671"/>
      <c r="F271" s="624"/>
      <c r="G271" s="624"/>
      <c r="H271" s="624"/>
      <c r="I271" s="624"/>
      <c r="J271" s="624"/>
      <c r="K271" s="624"/>
      <c r="L271" s="624"/>
      <c r="M271" s="624"/>
      <c r="N271" s="624"/>
      <c r="O271" s="862"/>
      <c r="P271" s="863"/>
      <c r="Q271" s="820"/>
      <c r="R271" s="864"/>
      <c r="S271" s="821"/>
    </row>
    <row r="272" spans="1:19" s="439" customFormat="1">
      <c r="A272" s="631"/>
      <c r="B272" s="617">
        <v>267</v>
      </c>
      <c r="C272" s="622" t="s">
        <v>1956</v>
      </c>
      <c r="D272" s="633" t="s">
        <v>1957</v>
      </c>
      <c r="E272" s="671"/>
      <c r="F272" s="624"/>
      <c r="G272" s="624"/>
      <c r="H272" s="624"/>
      <c r="I272" s="624"/>
      <c r="J272" s="624"/>
      <c r="K272" s="624"/>
      <c r="L272" s="624"/>
      <c r="M272" s="624">
        <v>1900</v>
      </c>
      <c r="N272" s="624"/>
      <c r="O272" s="624">
        <v>0.1</v>
      </c>
      <c r="P272" s="632">
        <v>600.00000000000011</v>
      </c>
      <c r="Q272" s="820"/>
      <c r="R272" s="652">
        <v>1900</v>
      </c>
      <c r="S272" s="652" t="s">
        <v>2367</v>
      </c>
    </row>
    <row r="273" spans="1:19" s="439" customFormat="1">
      <c r="A273" s="631"/>
      <c r="B273" s="617">
        <v>268</v>
      </c>
      <c r="C273" s="622" t="s">
        <v>1934</v>
      </c>
      <c r="D273" s="865" t="s">
        <v>1959</v>
      </c>
      <c r="E273" s="671"/>
      <c r="F273" s="624"/>
      <c r="G273" s="624"/>
      <c r="H273" s="624"/>
      <c r="I273" s="624"/>
      <c r="J273" s="624"/>
      <c r="K273" s="624"/>
      <c r="L273" s="624"/>
      <c r="M273" s="624"/>
      <c r="N273" s="624"/>
      <c r="O273" s="624"/>
      <c r="P273" s="632"/>
      <c r="Q273" s="820"/>
      <c r="R273" s="652"/>
      <c r="S273" s="624"/>
    </row>
    <row r="274" spans="1:19" s="439" customFormat="1" ht="30">
      <c r="A274" s="631"/>
      <c r="B274" s="617">
        <v>269</v>
      </c>
      <c r="C274" s="622" t="s">
        <v>1935</v>
      </c>
      <c r="D274" s="865" t="s">
        <v>1960</v>
      </c>
      <c r="E274" s="671"/>
      <c r="F274" s="624"/>
      <c r="G274" s="624"/>
      <c r="H274" s="624"/>
      <c r="I274" s="624"/>
      <c r="J274" s="624"/>
      <c r="K274" s="624"/>
      <c r="L274" s="624"/>
      <c r="M274" s="624"/>
      <c r="N274" s="624"/>
      <c r="O274" s="624"/>
      <c r="P274" s="632"/>
      <c r="Q274" s="820"/>
      <c r="R274" s="652"/>
      <c r="S274" s="624"/>
    </row>
    <row r="275" spans="1:19" s="439" customFormat="1">
      <c r="A275" s="631"/>
      <c r="B275" s="617">
        <v>270</v>
      </c>
      <c r="C275" s="622" t="s">
        <v>1938</v>
      </c>
      <c r="D275" s="621" t="s">
        <v>1937</v>
      </c>
      <c r="E275" s="671"/>
      <c r="F275" s="624"/>
      <c r="G275" s="624"/>
      <c r="H275" s="624"/>
      <c r="I275" s="624"/>
      <c r="J275" s="624"/>
      <c r="K275" s="624"/>
      <c r="L275" s="624"/>
      <c r="M275" s="624"/>
      <c r="N275" s="624"/>
      <c r="O275" s="624"/>
      <c r="P275" s="632"/>
      <c r="Q275" s="820"/>
      <c r="R275" s="652"/>
      <c r="S275" s="624"/>
    </row>
    <row r="276" spans="1:19" s="439" customFormat="1" ht="30">
      <c r="A276" s="631"/>
      <c r="B276" s="617">
        <v>271</v>
      </c>
      <c r="C276" s="622" t="s">
        <v>1936</v>
      </c>
      <c r="D276" s="621" t="s">
        <v>1961</v>
      </c>
      <c r="E276" s="671"/>
      <c r="F276" s="624"/>
      <c r="G276" s="624"/>
      <c r="H276" s="624"/>
      <c r="I276" s="624"/>
      <c r="J276" s="624"/>
      <c r="K276" s="624"/>
      <c r="L276" s="624"/>
      <c r="M276" s="624"/>
      <c r="N276" s="624"/>
      <c r="O276" s="624"/>
      <c r="P276" s="632"/>
      <c r="Q276" s="820"/>
      <c r="R276" s="652"/>
      <c r="S276" s="624"/>
    </row>
    <row r="277" spans="1:19" s="439" customFormat="1">
      <c r="A277" s="631"/>
      <c r="B277" s="617">
        <v>272</v>
      </c>
      <c r="C277" s="622" t="s">
        <v>1939</v>
      </c>
      <c r="D277" s="621" t="s">
        <v>1963</v>
      </c>
      <c r="E277" s="671"/>
      <c r="F277" s="624"/>
      <c r="G277" s="624"/>
      <c r="H277" s="624"/>
      <c r="I277" s="624"/>
      <c r="J277" s="624"/>
      <c r="K277" s="624"/>
      <c r="L277" s="624"/>
      <c r="M277" s="624"/>
      <c r="N277" s="624"/>
      <c r="O277" s="624">
        <v>0.15</v>
      </c>
      <c r="P277" s="632">
        <v>900</v>
      </c>
      <c r="Q277" s="820"/>
      <c r="R277" s="648">
        <v>900</v>
      </c>
      <c r="S277" s="649" t="s">
        <v>585</v>
      </c>
    </row>
    <row r="278" spans="1:19" s="439" customFormat="1">
      <c r="A278" s="631"/>
      <c r="B278" s="617">
        <v>274</v>
      </c>
      <c r="C278" s="622" t="s">
        <v>1940</v>
      </c>
      <c r="D278" s="633" t="s">
        <v>1964</v>
      </c>
      <c r="E278" s="671"/>
      <c r="F278" s="624"/>
      <c r="G278" s="624"/>
      <c r="H278" s="624"/>
      <c r="I278" s="624"/>
      <c r="J278" s="624"/>
      <c r="K278" s="624"/>
      <c r="L278" s="624"/>
      <c r="M278" s="624"/>
      <c r="N278" s="624"/>
      <c r="O278" s="624"/>
      <c r="P278" s="632"/>
      <c r="Q278" s="820"/>
      <c r="R278" s="652"/>
      <c r="S278" s="624"/>
    </row>
    <row r="279" spans="1:19" s="439" customFormat="1">
      <c r="A279" s="631"/>
      <c r="B279" s="617">
        <v>275</v>
      </c>
      <c r="C279" s="622" t="s">
        <v>1942</v>
      </c>
      <c r="D279" s="633" t="s">
        <v>1965</v>
      </c>
      <c r="E279" s="671"/>
      <c r="F279" s="624"/>
      <c r="G279" s="624"/>
      <c r="H279" s="624"/>
      <c r="I279" s="624"/>
      <c r="J279" s="624"/>
      <c r="K279" s="624"/>
      <c r="L279" s="624"/>
      <c r="M279" s="624"/>
      <c r="N279" s="624"/>
      <c r="O279" s="624"/>
      <c r="P279" s="632"/>
      <c r="Q279" s="820"/>
      <c r="R279" s="652"/>
      <c r="S279" s="624"/>
    </row>
    <row r="280" spans="1:19" s="439" customFormat="1">
      <c r="A280" s="631"/>
      <c r="B280" s="617">
        <v>276</v>
      </c>
      <c r="C280" s="622" t="s">
        <v>1943</v>
      </c>
      <c r="D280" s="633" t="s">
        <v>1966</v>
      </c>
      <c r="E280" s="671"/>
      <c r="F280" s="624"/>
      <c r="G280" s="624"/>
      <c r="H280" s="624"/>
      <c r="I280" s="624"/>
      <c r="J280" s="624"/>
      <c r="K280" s="624"/>
      <c r="L280" s="624"/>
      <c r="M280" s="624"/>
      <c r="N280" s="624"/>
      <c r="O280" s="866">
        <v>3.2040816326530611E-3</v>
      </c>
      <c r="P280" s="867">
        <v>19.22448979591837</v>
      </c>
      <c r="Q280" s="820"/>
      <c r="R280" s="868">
        <v>19.22448979591837</v>
      </c>
      <c r="S280" s="817" t="s">
        <v>585</v>
      </c>
    </row>
    <row r="281" spans="1:19" s="529" customFormat="1">
      <c r="A281" s="631"/>
      <c r="B281" s="617">
        <v>277</v>
      </c>
      <c r="C281" s="622" t="s">
        <v>1946</v>
      </c>
      <c r="D281" s="854" t="s">
        <v>1967</v>
      </c>
      <c r="E281" s="671"/>
      <c r="F281" s="624"/>
      <c r="G281" s="624"/>
      <c r="H281" s="624"/>
      <c r="I281" s="624"/>
      <c r="J281" s="624"/>
      <c r="K281" s="624"/>
      <c r="L281" s="624"/>
      <c r="M281" s="624"/>
      <c r="N281" s="624"/>
      <c r="O281" s="624"/>
      <c r="P281" s="632"/>
      <c r="Q281" s="820"/>
      <c r="R281" s="652"/>
      <c r="S281" s="624"/>
    </row>
    <row r="282" spans="1:19" s="439" customFormat="1">
      <c r="A282" s="631"/>
      <c r="B282" s="617">
        <v>278</v>
      </c>
      <c r="C282" s="622" t="s">
        <v>1947</v>
      </c>
      <c r="D282" s="621" t="s">
        <v>1968</v>
      </c>
      <c r="E282" s="671"/>
      <c r="F282" s="624"/>
      <c r="G282" s="624"/>
      <c r="H282" s="624"/>
      <c r="I282" s="624"/>
      <c r="J282" s="624"/>
      <c r="K282" s="624"/>
      <c r="L282" s="624"/>
      <c r="M282" s="624"/>
      <c r="N282" s="624"/>
      <c r="O282" s="624"/>
      <c r="P282" s="632"/>
      <c r="Q282" s="820"/>
      <c r="R282" s="652"/>
      <c r="S282" s="624"/>
    </row>
    <row r="283" spans="1:19" s="439" customFormat="1">
      <c r="A283" s="631"/>
      <c r="B283" s="617">
        <v>279</v>
      </c>
      <c r="C283" s="622" t="s">
        <v>1948</v>
      </c>
      <c r="D283" s="621" t="s">
        <v>1970</v>
      </c>
      <c r="E283" s="671"/>
      <c r="F283" s="624"/>
      <c r="G283" s="624"/>
      <c r="H283" s="624"/>
      <c r="I283" s="624"/>
      <c r="J283" s="624"/>
      <c r="K283" s="624"/>
      <c r="L283" s="624"/>
      <c r="M283" s="624"/>
      <c r="N283" s="624"/>
      <c r="O283" s="624"/>
      <c r="P283" s="632"/>
      <c r="Q283" s="820"/>
      <c r="R283" s="652"/>
      <c r="S283" s="624"/>
    </row>
    <row r="284" spans="1:19" s="439" customFormat="1">
      <c r="A284" s="631"/>
      <c r="B284" s="617">
        <v>280</v>
      </c>
      <c r="C284" s="622" t="s">
        <v>1949</v>
      </c>
      <c r="D284" s="865" t="s">
        <v>1972</v>
      </c>
      <c r="E284" s="671"/>
      <c r="F284" s="624"/>
      <c r="G284" s="624"/>
      <c r="H284" s="624"/>
      <c r="I284" s="624"/>
      <c r="J284" s="624"/>
      <c r="K284" s="624"/>
      <c r="L284" s="624"/>
      <c r="M284" s="624"/>
      <c r="N284" s="624"/>
      <c r="O284" s="624"/>
      <c r="P284" s="632"/>
      <c r="Q284" s="820"/>
      <c r="R284" s="652"/>
      <c r="S284" s="624"/>
    </row>
    <row r="285" spans="1:19" s="207" customFormat="1">
      <c r="A285" s="631"/>
      <c r="B285" s="617">
        <v>281</v>
      </c>
      <c r="C285" s="622" t="s">
        <v>2444</v>
      </c>
      <c r="D285" s="621" t="s">
        <v>1973</v>
      </c>
      <c r="E285" s="671"/>
      <c r="F285" s="624"/>
      <c r="G285" s="624"/>
      <c r="H285" s="624"/>
      <c r="I285" s="624"/>
      <c r="J285" s="624"/>
      <c r="K285" s="624"/>
      <c r="L285" s="624"/>
      <c r="M285" s="624"/>
      <c r="N285" s="624"/>
      <c r="O285" s="624"/>
      <c r="P285" s="632"/>
      <c r="Q285" s="820"/>
      <c r="R285" s="652"/>
      <c r="S285" s="624"/>
    </row>
    <row r="286" spans="1:19" s="207" customFormat="1">
      <c r="A286" s="631"/>
      <c r="B286" s="617">
        <v>282</v>
      </c>
      <c r="C286" s="622" t="s">
        <v>1975</v>
      </c>
      <c r="D286" s="621" t="s">
        <v>1974</v>
      </c>
      <c r="E286" s="671"/>
      <c r="F286" s="624"/>
      <c r="G286" s="624"/>
      <c r="H286" s="624"/>
      <c r="I286" s="624"/>
      <c r="J286" s="624"/>
      <c r="K286" s="624"/>
      <c r="L286" s="624"/>
      <c r="M286" s="624"/>
      <c r="N286" s="624"/>
      <c r="O286" s="624"/>
      <c r="P286" s="632"/>
      <c r="Q286" s="820"/>
      <c r="R286" s="652"/>
      <c r="S286" s="624"/>
    </row>
    <row r="287" spans="1:19" s="207" customFormat="1">
      <c r="A287" s="631"/>
      <c r="B287" s="617">
        <v>283</v>
      </c>
      <c r="C287" s="617" t="s">
        <v>1892</v>
      </c>
      <c r="D287" s="621" t="s">
        <v>1891</v>
      </c>
      <c r="E287" s="671"/>
      <c r="F287" s="624"/>
      <c r="G287" s="624"/>
      <c r="H287" s="624"/>
      <c r="I287" s="624">
        <v>50</v>
      </c>
      <c r="J287" s="624"/>
      <c r="K287" s="624"/>
      <c r="L287" s="624">
        <v>3</v>
      </c>
      <c r="M287" s="624">
        <v>0.46</v>
      </c>
      <c r="N287" s="624"/>
      <c r="O287" s="818">
        <v>1E-4</v>
      </c>
      <c r="P287" s="632">
        <v>0.60000000000000009</v>
      </c>
      <c r="Q287" s="820"/>
      <c r="R287" s="652">
        <v>50</v>
      </c>
      <c r="S287" s="624" t="s">
        <v>2468</v>
      </c>
    </row>
    <row r="288" spans="1:19">
      <c r="B288" s="61"/>
      <c r="C288" s="61"/>
      <c r="D288" s="123"/>
      <c r="F288" s="120"/>
      <c r="G288" s="121"/>
      <c r="H288" s="121"/>
      <c r="I288" s="121"/>
      <c r="J288" s="121"/>
      <c r="K288" s="121"/>
      <c r="L288" s="121"/>
      <c r="M288" s="61"/>
      <c r="N288" s="61"/>
      <c r="O288" s="61"/>
      <c r="P288" s="69"/>
      <c r="R288" s="122"/>
      <c r="S288" s="61"/>
    </row>
  </sheetData>
  <pageMargins left="0.70866141732283472" right="0.70866141732283472" top="0.74803149606299213" bottom="0.74803149606299213" header="0.31496062992125984" footer="0.31496062992125984"/>
  <pageSetup paperSize="8" scale="56" fitToWidth="2" fitToHeight="9" orientation="landscape" r:id="rId1"/>
</worksheet>
</file>

<file path=xl/worksheets/sheet11.xml><?xml version="1.0" encoding="utf-8"?>
<worksheet xmlns="http://schemas.openxmlformats.org/spreadsheetml/2006/main" xmlns:r="http://schemas.openxmlformats.org/officeDocument/2006/relationships">
  <sheetPr>
    <tabColor theme="3"/>
  </sheetPr>
  <dimension ref="A1:BQ405"/>
  <sheetViews>
    <sheetView zoomScale="25" zoomScaleNormal="25" workbookViewId="0">
      <pane xSplit="5" ySplit="4" topLeftCell="Y131" activePane="bottomRight" state="frozen"/>
      <selection pane="topRight" activeCell="F1" sqref="F1"/>
      <selection pane="bottomLeft" activeCell="A5" sqref="A5"/>
      <selection pane="bottomRight" activeCell="BE134" sqref="BE134"/>
    </sheetView>
  </sheetViews>
  <sheetFormatPr baseColWidth="10" defaultColWidth="11.42578125" defaultRowHeight="12.75"/>
  <cols>
    <col min="1" max="4" width="20.7109375" style="194" customWidth="1"/>
    <col min="5" max="5" width="3.5703125" style="674" customWidth="1"/>
    <col min="6" max="22" width="20.7109375" style="194" customWidth="1"/>
    <col min="23" max="23" width="3.5703125" style="674" customWidth="1"/>
    <col min="24" max="29" width="20.7109375" style="194" customWidth="1"/>
    <col min="30" max="30" width="3.28515625" style="674" customWidth="1"/>
    <col min="31" max="34" width="20.7109375" style="194" customWidth="1"/>
    <col min="35" max="35" width="3.85546875" style="674" customWidth="1"/>
    <col min="36" max="44" width="20.7109375" style="195" customWidth="1"/>
    <col min="45" max="45" width="4.140625" style="674" customWidth="1"/>
    <col min="46" max="53" width="20.7109375" style="195" customWidth="1"/>
    <col min="54" max="54" width="3.42578125" style="674" customWidth="1"/>
    <col min="55" max="60" width="20.7109375" style="194" customWidth="1"/>
    <col min="61" max="61" width="28.42578125" style="194" customWidth="1"/>
    <col min="62" max="62" width="3" style="674" customWidth="1"/>
    <col min="63" max="64" width="20.7109375" style="194" customWidth="1"/>
    <col min="65" max="65" width="3.7109375" style="802" customWidth="1"/>
    <col min="66" max="66" width="22.28515625" style="12" customWidth="1"/>
    <col min="67" max="67" width="28.28515625" style="12" customWidth="1"/>
    <col min="68" max="68" width="31.140625" style="12" customWidth="1"/>
    <col min="69" max="69" width="11.42578125" style="495"/>
    <col min="70" max="16384" width="11.42578125" style="12"/>
  </cols>
  <sheetData>
    <row r="1" spans="1:68" ht="110.25" customHeight="1">
      <c r="A1" s="1143" t="s">
        <v>1464</v>
      </c>
      <c r="B1" s="1144"/>
      <c r="C1" s="1144"/>
      <c r="D1" s="1145"/>
      <c r="F1" s="1141" t="s">
        <v>2113</v>
      </c>
      <c r="G1" s="1142"/>
      <c r="H1" s="1142"/>
      <c r="I1" s="1142"/>
      <c r="J1" s="1142"/>
      <c r="K1" s="1142"/>
      <c r="L1" s="1142"/>
      <c r="M1" s="1142"/>
      <c r="N1" s="1142"/>
      <c r="O1" s="1142"/>
      <c r="P1" s="1142"/>
      <c r="Q1" s="1142"/>
      <c r="R1" s="1142"/>
      <c r="S1" s="1142"/>
      <c r="T1" s="1142"/>
      <c r="U1" s="1142"/>
      <c r="V1" s="1142"/>
      <c r="W1" s="791"/>
      <c r="X1" s="1129" t="s">
        <v>2096</v>
      </c>
      <c r="Y1" s="1129"/>
      <c r="Z1" s="1129"/>
      <c r="AA1" s="1129"/>
      <c r="AB1" s="1129"/>
      <c r="AC1" s="1129"/>
      <c r="AD1" s="783"/>
      <c r="AE1" s="1129" t="s">
        <v>2114</v>
      </c>
      <c r="AF1" s="1129"/>
      <c r="AG1" s="1129"/>
      <c r="AH1" s="1127"/>
      <c r="AI1" s="675"/>
      <c r="AJ1" s="1113" t="s">
        <v>2196</v>
      </c>
      <c r="AK1" s="1114"/>
      <c r="AL1" s="1114"/>
      <c r="AM1" s="1114"/>
      <c r="AN1" s="1114"/>
      <c r="AO1" s="1114"/>
      <c r="AP1" s="1114"/>
      <c r="AQ1" s="1114"/>
      <c r="AR1" s="1115"/>
      <c r="AS1" s="783"/>
      <c r="AT1" s="1113" t="s">
        <v>2162</v>
      </c>
      <c r="AU1" s="1114"/>
      <c r="AV1" s="1114"/>
      <c r="AW1" s="1114"/>
      <c r="AX1" s="1114"/>
      <c r="AY1" s="1114"/>
      <c r="AZ1" s="1114"/>
      <c r="BA1" s="1115"/>
      <c r="BB1" s="675"/>
      <c r="BC1" s="1126" t="s">
        <v>2149</v>
      </c>
      <c r="BD1" s="1129"/>
      <c r="BE1" s="1129"/>
      <c r="BF1" s="1129"/>
      <c r="BG1" s="1129"/>
      <c r="BH1" s="1129"/>
      <c r="BI1" s="1127"/>
      <c r="BJ1" s="783"/>
      <c r="BK1" s="1126" t="s">
        <v>2148</v>
      </c>
      <c r="BL1" s="1127"/>
      <c r="BM1" s="801"/>
      <c r="BN1" s="1119" t="s">
        <v>2207</v>
      </c>
      <c r="BO1" s="1119"/>
      <c r="BP1" s="1119"/>
    </row>
    <row r="2" spans="1:68" ht="35.25" customHeight="1">
      <c r="A2" s="1133" t="s">
        <v>450</v>
      </c>
      <c r="B2" s="1136" t="s">
        <v>46</v>
      </c>
      <c r="C2" s="1137" t="s">
        <v>621</v>
      </c>
      <c r="D2" s="1136" t="s">
        <v>1992</v>
      </c>
      <c r="E2" s="676"/>
      <c r="F2" s="1139" t="s">
        <v>1994</v>
      </c>
      <c r="G2" s="1139" t="s">
        <v>1995</v>
      </c>
      <c r="H2" s="1139" t="s">
        <v>1998</v>
      </c>
      <c r="I2" s="1109" t="s">
        <v>2001</v>
      </c>
      <c r="J2" s="1146" t="s">
        <v>622</v>
      </c>
      <c r="K2" s="1109" t="s">
        <v>2202</v>
      </c>
      <c r="L2" s="1139" t="s">
        <v>2002</v>
      </c>
      <c r="M2" s="1136" t="s">
        <v>2203</v>
      </c>
      <c r="N2" s="1139" t="s">
        <v>2003</v>
      </c>
      <c r="O2" s="1136" t="s">
        <v>623</v>
      </c>
      <c r="P2" s="1136" t="s">
        <v>2004</v>
      </c>
      <c r="Q2" s="1136" t="s">
        <v>2005</v>
      </c>
      <c r="R2" s="1139" t="s">
        <v>2006</v>
      </c>
      <c r="S2" s="1136" t="s">
        <v>624</v>
      </c>
      <c r="T2" s="1139" t="s">
        <v>2015</v>
      </c>
      <c r="U2" s="1136" t="s">
        <v>625</v>
      </c>
      <c r="V2" s="1147" t="s">
        <v>2035</v>
      </c>
      <c r="X2" s="1130" t="s">
        <v>626</v>
      </c>
      <c r="Y2" s="1131"/>
      <c r="Z2" s="1132"/>
      <c r="AA2" s="1130" t="s">
        <v>627</v>
      </c>
      <c r="AB2" s="1131"/>
      <c r="AC2" s="1132"/>
      <c r="AD2" s="784"/>
      <c r="AE2" s="1130" t="s">
        <v>626</v>
      </c>
      <c r="AF2" s="1132"/>
      <c r="AG2" s="1130" t="s">
        <v>627</v>
      </c>
      <c r="AH2" s="1132"/>
      <c r="AJ2" s="1109" t="s">
        <v>2164</v>
      </c>
      <c r="AK2" s="1116" t="s">
        <v>2163</v>
      </c>
      <c r="AL2" s="1116" t="s">
        <v>2168</v>
      </c>
      <c r="AM2" s="1116" t="s">
        <v>2167</v>
      </c>
      <c r="AN2" s="1116" t="s">
        <v>2166</v>
      </c>
      <c r="AO2" s="1116" t="s">
        <v>2169</v>
      </c>
      <c r="AP2" s="1116" t="s">
        <v>2170</v>
      </c>
      <c r="AQ2" s="1116" t="s">
        <v>2171</v>
      </c>
      <c r="AR2" s="1116" t="s">
        <v>2172</v>
      </c>
      <c r="AS2" s="676"/>
      <c r="AT2" s="1112" t="s">
        <v>628</v>
      </c>
      <c r="AU2" s="1109" t="s">
        <v>629</v>
      </c>
      <c r="AV2" s="1109" t="s">
        <v>630</v>
      </c>
      <c r="AW2" s="1109" t="s">
        <v>631</v>
      </c>
      <c r="AX2" s="1109" t="s">
        <v>632</v>
      </c>
      <c r="AY2" s="1109" t="s">
        <v>633</v>
      </c>
      <c r="AZ2" s="1109" t="s">
        <v>634</v>
      </c>
      <c r="BA2" s="1109" t="s">
        <v>635</v>
      </c>
      <c r="BC2" s="1118" t="s">
        <v>2151</v>
      </c>
      <c r="BD2" s="1110" t="s">
        <v>2152</v>
      </c>
      <c r="BE2" s="1110" t="s">
        <v>2153</v>
      </c>
      <c r="BF2" s="1110" t="s">
        <v>2154</v>
      </c>
      <c r="BG2" s="1110" t="s">
        <v>2155</v>
      </c>
      <c r="BH2" s="1110" t="s">
        <v>2156</v>
      </c>
      <c r="BI2" s="1110" t="s">
        <v>2157</v>
      </c>
      <c r="BJ2" s="787"/>
      <c r="BK2" s="1125" t="s">
        <v>636</v>
      </c>
      <c r="BL2" s="1128" t="s">
        <v>637</v>
      </c>
      <c r="BN2" s="1120" t="s">
        <v>2137</v>
      </c>
      <c r="BO2" s="1122" t="s">
        <v>2138</v>
      </c>
      <c r="BP2" s="1122" t="s">
        <v>2139</v>
      </c>
    </row>
    <row r="3" spans="1:68" ht="120" customHeight="1">
      <c r="A3" s="1134"/>
      <c r="B3" s="1109"/>
      <c r="C3" s="1138"/>
      <c r="D3" s="1136"/>
      <c r="E3" s="676"/>
      <c r="F3" s="1140"/>
      <c r="G3" s="1140"/>
      <c r="H3" s="1140"/>
      <c r="I3" s="1109"/>
      <c r="J3" s="1112"/>
      <c r="K3" s="1109"/>
      <c r="L3" s="1117"/>
      <c r="M3" s="1109"/>
      <c r="N3" s="1140"/>
      <c r="O3" s="1109"/>
      <c r="P3" s="1109"/>
      <c r="Q3" s="1109"/>
      <c r="R3" s="1140"/>
      <c r="S3" s="1109"/>
      <c r="T3" s="1140"/>
      <c r="U3" s="1109"/>
      <c r="V3" s="1148"/>
      <c r="W3" s="792"/>
      <c r="X3" s="473" t="s">
        <v>2098</v>
      </c>
      <c r="Y3" s="471" t="s">
        <v>2099</v>
      </c>
      <c r="Z3" s="471" t="s">
        <v>2100</v>
      </c>
      <c r="AA3" s="471" t="s">
        <v>2101</v>
      </c>
      <c r="AB3" s="471" t="s">
        <v>2102</v>
      </c>
      <c r="AC3" s="472" t="s">
        <v>2103</v>
      </c>
      <c r="AD3" s="785"/>
      <c r="AE3" s="473" t="s">
        <v>638</v>
      </c>
      <c r="AF3" s="200" t="s">
        <v>639</v>
      </c>
      <c r="AG3" s="471" t="s">
        <v>638</v>
      </c>
      <c r="AH3" s="471" t="s">
        <v>2097</v>
      </c>
      <c r="AI3" s="677"/>
      <c r="AJ3" s="1109"/>
      <c r="AK3" s="1117"/>
      <c r="AL3" s="1117"/>
      <c r="AM3" s="1117"/>
      <c r="AN3" s="1117"/>
      <c r="AO3" s="1117"/>
      <c r="AP3" s="1117"/>
      <c r="AQ3" s="1117"/>
      <c r="AR3" s="1117"/>
      <c r="AS3" s="676"/>
      <c r="AT3" s="1112"/>
      <c r="AU3" s="1109"/>
      <c r="AV3" s="1109"/>
      <c r="AW3" s="1109"/>
      <c r="AX3" s="1109"/>
      <c r="AY3" s="1109"/>
      <c r="AZ3" s="1109"/>
      <c r="BA3" s="1109"/>
      <c r="BB3" s="678"/>
      <c r="BC3" s="1118"/>
      <c r="BD3" s="1111"/>
      <c r="BE3" s="1111"/>
      <c r="BF3" s="1111"/>
      <c r="BG3" s="1111"/>
      <c r="BH3" s="1111"/>
      <c r="BI3" s="1111"/>
      <c r="BJ3" s="787"/>
      <c r="BK3" s="1125"/>
      <c r="BL3" s="1128"/>
      <c r="BN3" s="1121"/>
      <c r="BO3" s="1123"/>
      <c r="BP3" s="1124"/>
    </row>
    <row r="4" spans="1:68" ht="73.5" customHeight="1">
      <c r="A4" s="1135"/>
      <c r="B4" s="1109"/>
      <c r="C4" s="1138"/>
      <c r="D4" s="1136"/>
      <c r="E4" s="676"/>
      <c r="F4" s="146"/>
      <c r="G4" s="146"/>
      <c r="H4" s="146" t="s">
        <v>1999</v>
      </c>
      <c r="I4" s="147" t="s">
        <v>541</v>
      </c>
      <c r="J4" s="146" t="s">
        <v>640</v>
      </c>
      <c r="K4" s="147" t="s">
        <v>641</v>
      </c>
      <c r="L4" s="147" t="s">
        <v>1385</v>
      </c>
      <c r="M4" s="147" t="s">
        <v>642</v>
      </c>
      <c r="N4" s="147" t="s">
        <v>1385</v>
      </c>
      <c r="O4" s="147" t="s">
        <v>643</v>
      </c>
      <c r="P4" s="147" t="s">
        <v>1385</v>
      </c>
      <c r="Q4" s="147" t="s">
        <v>644</v>
      </c>
      <c r="R4" s="147" t="s">
        <v>644</v>
      </c>
      <c r="S4" s="147" t="s">
        <v>541</v>
      </c>
      <c r="T4" s="147" t="s">
        <v>541</v>
      </c>
      <c r="U4" s="147" t="s">
        <v>645</v>
      </c>
      <c r="V4" s="496" t="s">
        <v>645</v>
      </c>
      <c r="W4" s="793"/>
      <c r="X4" s="146" t="s">
        <v>2104</v>
      </c>
      <c r="Y4" s="147" t="s">
        <v>646</v>
      </c>
      <c r="Z4" s="147" t="s">
        <v>646</v>
      </c>
      <c r="AA4" s="147" t="s">
        <v>2105</v>
      </c>
      <c r="AB4" s="147" t="s">
        <v>2106</v>
      </c>
      <c r="AC4" s="496" t="s">
        <v>2106</v>
      </c>
      <c r="AD4" s="676"/>
      <c r="AE4" s="146" t="s">
        <v>646</v>
      </c>
      <c r="AF4" s="147" t="s">
        <v>647</v>
      </c>
      <c r="AG4" s="147" t="s">
        <v>648</v>
      </c>
      <c r="AH4" s="147" t="s">
        <v>647</v>
      </c>
      <c r="AI4" s="676"/>
      <c r="AJ4" s="147" t="s">
        <v>2165</v>
      </c>
      <c r="AK4" s="147" t="s">
        <v>2165</v>
      </c>
      <c r="AL4" s="147" t="s">
        <v>2165</v>
      </c>
      <c r="AM4" s="147" t="s">
        <v>2165</v>
      </c>
      <c r="AN4" s="147" t="s">
        <v>2165</v>
      </c>
      <c r="AO4" s="147" t="s">
        <v>2165</v>
      </c>
      <c r="AP4" s="147" t="s">
        <v>2165</v>
      </c>
      <c r="AQ4" s="147" t="s">
        <v>2165</v>
      </c>
      <c r="AR4" s="147" t="s">
        <v>2165</v>
      </c>
      <c r="AS4" s="676"/>
      <c r="AT4" s="146" t="s">
        <v>649</v>
      </c>
      <c r="AU4" s="147" t="s">
        <v>650</v>
      </c>
      <c r="AV4" s="147" t="s">
        <v>649</v>
      </c>
      <c r="AW4" s="147" t="s">
        <v>650</v>
      </c>
      <c r="AX4" s="147" t="s">
        <v>649</v>
      </c>
      <c r="AY4" s="147" t="s">
        <v>650</v>
      </c>
      <c r="AZ4" s="147" t="s">
        <v>649</v>
      </c>
      <c r="BA4" s="147" t="s">
        <v>650</v>
      </c>
      <c r="BB4" s="680"/>
      <c r="BC4" s="148" t="s">
        <v>2150</v>
      </c>
      <c r="BD4" s="172" t="s">
        <v>2150</v>
      </c>
      <c r="BE4" s="172" t="s">
        <v>2150</v>
      </c>
      <c r="BF4" s="172" t="s">
        <v>2150</v>
      </c>
      <c r="BG4" s="172" t="s">
        <v>2150</v>
      </c>
      <c r="BH4" s="172" t="s">
        <v>2150</v>
      </c>
      <c r="BI4" s="172" t="s">
        <v>2150</v>
      </c>
      <c r="BJ4" s="787"/>
      <c r="BK4" s="176" t="s">
        <v>651</v>
      </c>
      <c r="BL4" s="172" t="s">
        <v>652</v>
      </c>
      <c r="BN4" s="343" t="s">
        <v>2140</v>
      </c>
      <c r="BO4" s="343" t="s">
        <v>541</v>
      </c>
      <c r="BP4" s="343" t="s">
        <v>541</v>
      </c>
    </row>
    <row r="5" spans="1:68" s="772" customFormat="1" ht="12.75" customHeight="1">
      <c r="A5" s="681">
        <v>1</v>
      </c>
      <c r="B5" s="689" t="s">
        <v>198</v>
      </c>
      <c r="C5" s="707" t="s">
        <v>1069</v>
      </c>
      <c r="D5" s="679"/>
      <c r="E5" s="766"/>
      <c r="F5" s="709" t="s">
        <v>1997</v>
      </c>
      <c r="G5" s="709" t="s">
        <v>1997</v>
      </c>
      <c r="H5" s="709" t="s">
        <v>541</v>
      </c>
      <c r="I5" s="682" t="s">
        <v>541</v>
      </c>
      <c r="J5" s="709">
        <v>26.981999999999999</v>
      </c>
      <c r="K5" s="689"/>
      <c r="L5" s="687"/>
      <c r="M5" s="710"/>
      <c r="N5" s="702"/>
      <c r="O5" s="689"/>
      <c r="P5" s="687"/>
      <c r="Q5" s="689" t="s">
        <v>541</v>
      </c>
      <c r="R5" s="689"/>
      <c r="S5" s="686"/>
      <c r="T5" s="686"/>
      <c r="U5" s="686"/>
      <c r="V5" s="789">
        <v>1500</v>
      </c>
      <c r="W5" s="674"/>
      <c r="X5" s="779">
        <v>5.0000000000000001E-3</v>
      </c>
      <c r="Y5" s="720">
        <v>0.14299999999999999</v>
      </c>
      <c r="Z5" s="720">
        <v>0.14299999999999999</v>
      </c>
      <c r="AA5" s="720"/>
      <c r="AB5" s="720"/>
      <c r="AC5" s="773"/>
      <c r="AD5" s="721"/>
      <c r="AE5" s="779"/>
      <c r="AF5" s="720"/>
      <c r="AG5" s="720"/>
      <c r="AH5" s="720"/>
      <c r="AI5" s="721"/>
      <c r="AJ5" s="710">
        <v>4.2709999999999997E-4</v>
      </c>
      <c r="AK5" s="710">
        <v>1.6609999999999999E-3</v>
      </c>
      <c r="AL5" s="710">
        <v>1.6609999999999999E-3</v>
      </c>
      <c r="AM5" s="710">
        <v>1.4779999999999999E-3</v>
      </c>
      <c r="AN5" s="710">
        <v>1.6330000000000001E-2</v>
      </c>
      <c r="AO5" s="710">
        <v>1.6330000000000001E-2</v>
      </c>
      <c r="AP5" s="710">
        <v>1.4779999999999999E-3</v>
      </c>
      <c r="AQ5" s="710">
        <v>1.6330000000000001E-2</v>
      </c>
      <c r="AR5" s="710">
        <v>1.4779999999999999E-3</v>
      </c>
      <c r="AS5" s="786"/>
      <c r="AT5" s="781"/>
      <c r="AU5" s="686"/>
      <c r="AV5" s="710"/>
      <c r="AW5" s="686"/>
      <c r="AX5" s="710"/>
      <c r="AY5" s="686"/>
      <c r="AZ5" s="710"/>
      <c r="BA5" s="689"/>
      <c r="BB5" s="684"/>
      <c r="BC5" s="691" t="s">
        <v>541</v>
      </c>
      <c r="BD5" s="691" t="s">
        <v>541</v>
      </c>
      <c r="BE5" s="691" t="s">
        <v>541</v>
      </c>
      <c r="BF5" s="691" t="s">
        <v>541</v>
      </c>
      <c r="BG5" s="691" t="s">
        <v>541</v>
      </c>
      <c r="BH5" s="799">
        <v>0</v>
      </c>
      <c r="BI5" s="799">
        <v>0</v>
      </c>
      <c r="BJ5" s="795"/>
      <c r="BK5" s="803"/>
      <c r="BL5" s="799"/>
      <c r="BM5" s="802"/>
      <c r="BN5" s="869">
        <v>1E-3</v>
      </c>
      <c r="BO5" s="869">
        <v>0.25</v>
      </c>
      <c r="BP5" s="870">
        <v>1</v>
      </c>
    </row>
    <row r="6" spans="1:68" s="772" customFormat="1" ht="127.5" customHeight="1">
      <c r="A6" s="681"/>
      <c r="B6" s="692"/>
      <c r="C6" s="707"/>
      <c r="D6" s="679"/>
      <c r="E6" s="766"/>
      <c r="F6" s="693"/>
      <c r="G6" s="693"/>
      <c r="H6" s="693"/>
      <c r="I6" s="705" t="s">
        <v>541</v>
      </c>
      <c r="J6" s="693" t="s">
        <v>2070</v>
      </c>
      <c r="K6" s="692"/>
      <c r="L6" s="694"/>
      <c r="M6" s="694"/>
      <c r="N6" s="694"/>
      <c r="O6" s="688"/>
      <c r="P6" s="694"/>
      <c r="Q6" s="692" t="s">
        <v>2012</v>
      </c>
      <c r="R6" s="692"/>
      <c r="S6" s="692"/>
      <c r="T6" s="686"/>
      <c r="U6" s="692"/>
      <c r="V6" s="789" t="s">
        <v>2076</v>
      </c>
      <c r="W6" s="794"/>
      <c r="X6" s="719" t="s">
        <v>2129</v>
      </c>
      <c r="Y6" s="696" t="s">
        <v>2130</v>
      </c>
      <c r="Z6" s="696" t="s">
        <v>2130</v>
      </c>
      <c r="AA6" s="696"/>
      <c r="AB6" s="696"/>
      <c r="AC6" s="774"/>
      <c r="AD6" s="678"/>
      <c r="AE6" s="719"/>
      <c r="AF6" s="696"/>
      <c r="AG6" s="713"/>
      <c r="AH6" s="713"/>
      <c r="AI6" s="714"/>
      <c r="AJ6" s="696" t="s">
        <v>2189</v>
      </c>
      <c r="AK6" s="696" t="s">
        <v>2190</v>
      </c>
      <c r="AL6" s="696" t="s">
        <v>2190</v>
      </c>
      <c r="AM6" s="697" t="s">
        <v>2191</v>
      </c>
      <c r="AN6" s="696" t="s">
        <v>2192</v>
      </c>
      <c r="AO6" s="696" t="s">
        <v>2192</v>
      </c>
      <c r="AP6" s="697" t="s">
        <v>2191</v>
      </c>
      <c r="AQ6" s="696" t="s">
        <v>2192</v>
      </c>
      <c r="AR6" s="697" t="s">
        <v>2191</v>
      </c>
      <c r="AS6" s="786"/>
      <c r="AT6" s="781"/>
      <c r="AU6" s="697"/>
      <c r="AV6" s="710"/>
      <c r="AW6" s="699"/>
      <c r="AX6" s="710"/>
      <c r="AY6" s="697"/>
      <c r="AZ6" s="710"/>
      <c r="BA6" s="698"/>
      <c r="BB6" s="695"/>
      <c r="BC6" s="871" t="s">
        <v>2159</v>
      </c>
      <c r="BD6" s="871" t="s">
        <v>2159</v>
      </c>
      <c r="BE6" s="871" t="s">
        <v>2159</v>
      </c>
      <c r="BF6" s="871" t="s">
        <v>2159</v>
      </c>
      <c r="BG6" s="871" t="s">
        <v>2159</v>
      </c>
      <c r="BH6" s="872" t="s">
        <v>2158</v>
      </c>
      <c r="BI6" s="872" t="s">
        <v>2158</v>
      </c>
      <c r="BJ6" s="806"/>
      <c r="BK6" s="804"/>
      <c r="BL6" s="800"/>
      <c r="BM6" s="802"/>
      <c r="BN6" s="873" t="s">
        <v>2147</v>
      </c>
      <c r="BO6" s="873" t="s">
        <v>2147</v>
      </c>
      <c r="BP6" s="874" t="s">
        <v>2208</v>
      </c>
    </row>
    <row r="7" spans="1:68" s="772" customFormat="1" ht="25.5">
      <c r="A7" s="681">
        <v>2</v>
      </c>
      <c r="B7" s="689" t="s">
        <v>200</v>
      </c>
      <c r="C7" s="707" t="s">
        <v>1075</v>
      </c>
      <c r="D7" s="679"/>
      <c r="E7" s="766"/>
      <c r="F7" s="709" t="s">
        <v>1997</v>
      </c>
      <c r="G7" s="709" t="s">
        <v>541</v>
      </c>
      <c r="H7" s="709" t="s">
        <v>541</v>
      </c>
      <c r="I7" s="682" t="s">
        <v>541</v>
      </c>
      <c r="J7" s="709">
        <v>121.76</v>
      </c>
      <c r="K7" s="689"/>
      <c r="L7" s="687"/>
      <c r="M7" s="710"/>
      <c r="N7" s="702"/>
      <c r="O7" s="689"/>
      <c r="P7" s="687"/>
      <c r="Q7" s="689"/>
      <c r="R7" s="689"/>
      <c r="S7" s="686"/>
      <c r="T7" s="686"/>
      <c r="U7" s="686"/>
      <c r="V7" s="789">
        <v>45</v>
      </c>
      <c r="W7" s="674"/>
      <c r="X7" s="779">
        <v>3.5000000000000001E-3</v>
      </c>
      <c r="Y7" s="720">
        <v>6.0000000000000001E-3</v>
      </c>
      <c r="Z7" s="720">
        <v>6.0000000000000001E-3</v>
      </c>
      <c r="AA7" s="720"/>
      <c r="AB7" s="720"/>
      <c r="AC7" s="773"/>
      <c r="AD7" s="721"/>
      <c r="AE7" s="779"/>
      <c r="AF7" s="720"/>
      <c r="AG7" s="720"/>
      <c r="AH7" s="720"/>
      <c r="AI7" s="721"/>
      <c r="AJ7" s="722" t="s">
        <v>2294</v>
      </c>
      <c r="AK7" s="722" t="s">
        <v>2296</v>
      </c>
      <c r="AL7" s="722" t="s">
        <v>2296</v>
      </c>
      <c r="AM7" s="875" t="s">
        <v>2298</v>
      </c>
      <c r="AN7" s="722" t="s">
        <v>2508</v>
      </c>
      <c r="AO7" s="722" t="s">
        <v>2508</v>
      </c>
      <c r="AP7" s="875" t="s">
        <v>2298</v>
      </c>
      <c r="AQ7" s="722" t="s">
        <v>2508</v>
      </c>
      <c r="AR7" s="875" t="s">
        <v>2298</v>
      </c>
      <c r="AS7" s="809"/>
      <c r="AT7" s="807"/>
      <c r="AU7" s="686"/>
      <c r="AV7" s="722"/>
      <c r="AW7" s="686"/>
      <c r="AX7" s="723"/>
      <c r="AY7" s="686"/>
      <c r="AZ7" s="722"/>
      <c r="BA7" s="689"/>
      <c r="BB7" s="684"/>
      <c r="BC7" s="691">
        <v>5.8999999999999999E-3</v>
      </c>
      <c r="BD7" s="691">
        <v>5.8999999999999999E-3</v>
      </c>
      <c r="BE7" s="691">
        <v>5.8999999999999999E-3</v>
      </c>
      <c r="BF7" s="799">
        <v>0</v>
      </c>
      <c r="BG7" s="691">
        <v>5.8999999999999999E-3</v>
      </c>
      <c r="BH7" s="799">
        <v>7.9000000000000001E-2</v>
      </c>
      <c r="BI7" s="799">
        <v>7.9000000000000001E-2</v>
      </c>
      <c r="BJ7" s="795"/>
      <c r="BK7" s="803"/>
      <c r="BL7" s="799"/>
      <c r="BM7" s="802"/>
      <c r="BN7" s="869">
        <v>1E-3</v>
      </c>
      <c r="BO7" s="869">
        <v>0.25</v>
      </c>
      <c r="BP7" s="870">
        <v>1</v>
      </c>
    </row>
    <row r="8" spans="1:68" s="772" customFormat="1" ht="127.5" customHeight="1">
      <c r="A8" s="681"/>
      <c r="B8" s="692"/>
      <c r="C8" s="707"/>
      <c r="D8" s="679"/>
      <c r="E8" s="766"/>
      <c r="F8" s="693"/>
      <c r="G8" s="693"/>
      <c r="H8" s="693"/>
      <c r="I8" s="705" t="s">
        <v>541</v>
      </c>
      <c r="J8" s="693" t="s">
        <v>1070</v>
      </c>
      <c r="K8" s="692"/>
      <c r="L8" s="694"/>
      <c r="M8" s="694"/>
      <c r="N8" s="694"/>
      <c r="O8" s="688"/>
      <c r="P8" s="694"/>
      <c r="Q8" s="692"/>
      <c r="R8" s="692"/>
      <c r="S8" s="692"/>
      <c r="T8" s="686"/>
      <c r="U8" s="692"/>
      <c r="V8" s="789" t="s">
        <v>1362</v>
      </c>
      <c r="W8" s="794"/>
      <c r="X8" s="719" t="s">
        <v>2507</v>
      </c>
      <c r="Y8" s="696" t="s">
        <v>2506</v>
      </c>
      <c r="Z8" s="696" t="s">
        <v>2506</v>
      </c>
      <c r="AA8" s="696"/>
      <c r="AB8" s="696"/>
      <c r="AC8" s="774"/>
      <c r="AD8" s="678"/>
      <c r="AE8" s="719"/>
      <c r="AF8" s="696"/>
      <c r="AG8" s="713"/>
      <c r="AH8" s="713"/>
      <c r="AI8" s="714"/>
      <c r="AJ8" s="710" t="s">
        <v>2295</v>
      </c>
      <c r="AK8" s="710" t="s">
        <v>2295</v>
      </c>
      <c r="AL8" s="710" t="s">
        <v>2295</v>
      </c>
      <c r="AM8" s="710" t="s">
        <v>2295</v>
      </c>
      <c r="AN8" s="710" t="s">
        <v>2295</v>
      </c>
      <c r="AO8" s="710" t="s">
        <v>2295</v>
      </c>
      <c r="AP8" s="710" t="s">
        <v>2295</v>
      </c>
      <c r="AQ8" s="710" t="s">
        <v>2295</v>
      </c>
      <c r="AR8" s="710" t="s">
        <v>2295</v>
      </c>
      <c r="AS8" s="786"/>
      <c r="AT8" s="781"/>
      <c r="AU8" s="697"/>
      <c r="AV8" s="710"/>
      <c r="AW8" s="699"/>
      <c r="AX8" s="710"/>
      <c r="AY8" s="697"/>
      <c r="AZ8" s="710"/>
      <c r="BA8" s="698"/>
      <c r="BB8" s="695"/>
      <c r="BC8" s="874" t="s">
        <v>2210</v>
      </c>
      <c r="BD8" s="870" t="s">
        <v>2160</v>
      </c>
      <c r="BE8" s="870" t="s">
        <v>2160</v>
      </c>
      <c r="BF8" s="872" t="s">
        <v>2509</v>
      </c>
      <c r="BG8" s="870" t="s">
        <v>2160</v>
      </c>
      <c r="BH8" s="874" t="s">
        <v>2210</v>
      </c>
      <c r="BI8" s="874" t="s">
        <v>2510</v>
      </c>
      <c r="BJ8" s="806"/>
      <c r="BK8" s="804"/>
      <c r="BL8" s="800"/>
      <c r="BM8" s="802"/>
      <c r="BN8" s="873" t="s">
        <v>2147</v>
      </c>
      <c r="BO8" s="873" t="s">
        <v>2147</v>
      </c>
      <c r="BP8" s="874" t="s">
        <v>2208</v>
      </c>
    </row>
    <row r="9" spans="1:68" s="772" customFormat="1" ht="25.5">
      <c r="A9" s="681">
        <v>3</v>
      </c>
      <c r="B9" s="689" t="s">
        <v>202</v>
      </c>
      <c r="C9" s="707" t="s">
        <v>1076</v>
      </c>
      <c r="D9" s="679"/>
      <c r="E9" s="766"/>
      <c r="F9" s="709" t="s">
        <v>1997</v>
      </c>
      <c r="G9" s="709" t="s">
        <v>1997</v>
      </c>
      <c r="H9" s="709" t="s">
        <v>541</v>
      </c>
      <c r="I9" s="682" t="s">
        <v>541</v>
      </c>
      <c r="J9" s="709">
        <v>137.327</v>
      </c>
      <c r="K9" s="689"/>
      <c r="L9" s="687"/>
      <c r="M9" s="710"/>
      <c r="N9" s="702"/>
      <c r="O9" s="689"/>
      <c r="P9" s="687"/>
      <c r="Q9" s="689" t="s">
        <v>541</v>
      </c>
      <c r="R9" s="689"/>
      <c r="S9" s="686"/>
      <c r="T9" s="686"/>
      <c r="U9" s="686"/>
      <c r="V9" s="789">
        <v>41</v>
      </c>
      <c r="W9" s="674"/>
      <c r="X9" s="779">
        <v>1E-3</v>
      </c>
      <c r="Y9" s="720">
        <v>0.21</v>
      </c>
      <c r="Z9" s="720">
        <v>0.21</v>
      </c>
      <c r="AA9" s="720"/>
      <c r="AB9" s="720"/>
      <c r="AC9" s="773"/>
      <c r="AD9" s="721"/>
      <c r="AE9" s="779"/>
      <c r="AF9" s="720"/>
      <c r="AG9" s="720"/>
      <c r="AH9" s="720"/>
      <c r="AI9" s="721"/>
      <c r="AJ9" s="722" t="s">
        <v>2195</v>
      </c>
      <c r="AK9" s="722">
        <v>5.7680000000000002E-2</v>
      </c>
      <c r="AL9" s="722">
        <v>5.7680000000000002E-2</v>
      </c>
      <c r="AM9" s="722">
        <v>5.1959999999999999E-2</v>
      </c>
      <c r="AN9" s="722">
        <v>0.1177</v>
      </c>
      <c r="AO9" s="722">
        <v>0.1177</v>
      </c>
      <c r="AP9" s="722">
        <v>5.1959999999999999E-2</v>
      </c>
      <c r="AQ9" s="722">
        <v>0.1177</v>
      </c>
      <c r="AR9" s="722">
        <v>5.1959999999999999E-2</v>
      </c>
      <c r="AS9" s="809"/>
      <c r="AT9" s="807"/>
      <c r="AU9" s="686"/>
      <c r="AV9" s="722"/>
      <c r="AW9" s="686"/>
      <c r="AX9" s="722"/>
      <c r="AY9" s="686"/>
      <c r="AZ9" s="722"/>
      <c r="BA9" s="689"/>
      <c r="BB9" s="684"/>
      <c r="BC9" s="691" t="s">
        <v>541</v>
      </c>
      <c r="BD9" s="691" t="s">
        <v>541</v>
      </c>
      <c r="BE9" s="691" t="s">
        <v>541</v>
      </c>
      <c r="BF9" s="691">
        <v>2.7E-4</v>
      </c>
      <c r="BG9" s="691" t="s">
        <v>541</v>
      </c>
      <c r="BH9" s="799">
        <v>0</v>
      </c>
      <c r="BI9" s="691">
        <v>0.28000000000000003</v>
      </c>
      <c r="BJ9" s="795"/>
      <c r="BK9" s="803"/>
      <c r="BL9" s="799"/>
      <c r="BM9" s="802"/>
      <c r="BN9" s="869">
        <v>1E-3</v>
      </c>
      <c r="BO9" s="869">
        <v>0.25</v>
      </c>
      <c r="BP9" s="870">
        <v>1</v>
      </c>
    </row>
    <row r="10" spans="1:68" s="772" customFormat="1" ht="127.5" customHeight="1">
      <c r="A10" s="681"/>
      <c r="B10" s="692"/>
      <c r="C10" s="707"/>
      <c r="D10" s="679"/>
      <c r="E10" s="766"/>
      <c r="F10" s="693"/>
      <c r="G10" s="693"/>
      <c r="H10" s="693"/>
      <c r="I10" s="705" t="s">
        <v>541</v>
      </c>
      <c r="J10" s="693" t="s">
        <v>2077</v>
      </c>
      <c r="K10" s="692"/>
      <c r="L10" s="694"/>
      <c r="M10" s="694"/>
      <c r="N10" s="694"/>
      <c r="O10" s="688"/>
      <c r="P10" s="694"/>
      <c r="Q10" s="692" t="s">
        <v>2012</v>
      </c>
      <c r="R10" s="692"/>
      <c r="S10" s="692"/>
      <c r="T10" s="686"/>
      <c r="U10" s="692"/>
      <c r="V10" s="789" t="s">
        <v>2076</v>
      </c>
      <c r="W10" s="794"/>
      <c r="X10" s="719" t="s">
        <v>2131</v>
      </c>
      <c r="Y10" s="696" t="s">
        <v>2132</v>
      </c>
      <c r="Z10" s="696" t="s">
        <v>2132</v>
      </c>
      <c r="AA10" s="696"/>
      <c r="AB10" s="696"/>
      <c r="AC10" s="774"/>
      <c r="AD10" s="678"/>
      <c r="AE10" s="719"/>
      <c r="AF10" s="696"/>
      <c r="AG10" s="713"/>
      <c r="AH10" s="713"/>
      <c r="AI10" s="714"/>
      <c r="AJ10" s="696" t="s">
        <v>2189</v>
      </c>
      <c r="AK10" s="697" t="s">
        <v>2190</v>
      </c>
      <c r="AL10" s="697" t="s">
        <v>2190</v>
      </c>
      <c r="AM10" s="696" t="s">
        <v>2191</v>
      </c>
      <c r="AN10" s="697" t="s">
        <v>2192</v>
      </c>
      <c r="AO10" s="697" t="s">
        <v>2192</v>
      </c>
      <c r="AP10" s="696" t="s">
        <v>2191</v>
      </c>
      <c r="AQ10" s="697" t="s">
        <v>2192</v>
      </c>
      <c r="AR10" s="696" t="s">
        <v>2191</v>
      </c>
      <c r="AS10" s="786"/>
      <c r="AT10" s="781"/>
      <c r="AU10" s="697"/>
      <c r="AV10" s="710"/>
      <c r="AW10" s="699"/>
      <c r="AX10" s="710"/>
      <c r="AY10" s="697"/>
      <c r="AZ10" s="710"/>
      <c r="BA10" s="698"/>
      <c r="BB10" s="695"/>
      <c r="BC10" s="871" t="s">
        <v>2159</v>
      </c>
      <c r="BD10" s="871" t="s">
        <v>2159</v>
      </c>
      <c r="BE10" s="871" t="s">
        <v>2159</v>
      </c>
      <c r="BF10" s="871" t="s">
        <v>2159</v>
      </c>
      <c r="BG10" s="871" t="s">
        <v>2159</v>
      </c>
      <c r="BH10" s="872" t="s">
        <v>2158</v>
      </c>
      <c r="BI10" s="871" t="s">
        <v>2159</v>
      </c>
      <c r="BJ10" s="806"/>
      <c r="BK10" s="804"/>
      <c r="BL10" s="800"/>
      <c r="BM10" s="802"/>
      <c r="BN10" s="873" t="s">
        <v>2147</v>
      </c>
      <c r="BO10" s="873" t="s">
        <v>2147</v>
      </c>
      <c r="BP10" s="874" t="s">
        <v>2208</v>
      </c>
    </row>
    <row r="11" spans="1:68" s="772" customFormat="1" ht="18.75">
      <c r="A11" s="681">
        <v>4</v>
      </c>
      <c r="B11" s="689" t="s">
        <v>203</v>
      </c>
      <c r="C11" s="707" t="s">
        <v>1077</v>
      </c>
      <c r="D11" s="679"/>
      <c r="E11" s="766"/>
      <c r="F11" s="709" t="s">
        <v>1997</v>
      </c>
      <c r="G11" s="709" t="s">
        <v>541</v>
      </c>
      <c r="H11" s="709" t="s">
        <v>541</v>
      </c>
      <c r="I11" s="682" t="s">
        <v>541</v>
      </c>
      <c r="J11" s="709">
        <v>9.0120000000000005</v>
      </c>
      <c r="K11" s="689"/>
      <c r="L11" s="687"/>
      <c r="M11" s="710"/>
      <c r="N11" s="702"/>
      <c r="O11" s="689"/>
      <c r="P11" s="687"/>
      <c r="Q11" s="689"/>
      <c r="R11" s="689"/>
      <c r="S11" s="686"/>
      <c r="T11" s="686"/>
      <c r="U11" s="686"/>
      <c r="V11" s="789">
        <v>790</v>
      </c>
      <c r="W11" s="674"/>
      <c r="X11" s="779"/>
      <c r="Y11" s="720"/>
      <c r="Z11" s="720"/>
      <c r="AA11" s="720"/>
      <c r="AB11" s="720"/>
      <c r="AC11" s="773"/>
      <c r="AD11" s="721"/>
      <c r="AE11" s="779">
        <v>2E-3</v>
      </c>
      <c r="AF11" s="720">
        <v>6.9999999999999999E-6</v>
      </c>
      <c r="AG11" s="720"/>
      <c r="AH11" s="720">
        <f>0.00001/2.4</f>
        <v>4.1666666666666669E-6</v>
      </c>
      <c r="AI11" s="721"/>
      <c r="AJ11" s="722"/>
      <c r="AK11" s="722"/>
      <c r="AL11" s="722"/>
      <c r="AM11" s="722"/>
      <c r="AN11" s="722"/>
      <c r="AO11" s="722"/>
      <c r="AP11" s="722"/>
      <c r="AQ11" s="722"/>
      <c r="AR11" s="722"/>
      <c r="AS11" s="809"/>
      <c r="AT11" s="807">
        <v>1.7804E-4</v>
      </c>
      <c r="AU11" s="686"/>
      <c r="AV11" s="722">
        <v>3.7227000000000001E-4</v>
      </c>
      <c r="AW11" s="686"/>
      <c r="AX11" s="723">
        <v>5.9347999999999996E-4</v>
      </c>
      <c r="AY11" s="686"/>
      <c r="AZ11" s="722">
        <v>6.0221000000000005E-4</v>
      </c>
      <c r="BA11" s="689"/>
      <c r="BB11" s="684"/>
      <c r="BC11" s="691"/>
      <c r="BD11" s="876"/>
      <c r="BE11" s="799"/>
      <c r="BF11" s="799"/>
      <c r="BG11" s="799"/>
      <c r="BH11" s="799"/>
      <c r="BI11" s="799"/>
      <c r="BJ11" s="795"/>
      <c r="BK11" s="803"/>
      <c r="BL11" s="799"/>
      <c r="BM11" s="802"/>
      <c r="BN11" s="869"/>
      <c r="BO11" s="869"/>
      <c r="BP11" s="869"/>
    </row>
    <row r="12" spans="1:68" s="772" customFormat="1" ht="127.5" customHeight="1">
      <c r="A12" s="681"/>
      <c r="B12" s="692"/>
      <c r="C12" s="707"/>
      <c r="D12" s="679"/>
      <c r="E12" s="766"/>
      <c r="F12" s="693"/>
      <c r="G12" s="693"/>
      <c r="H12" s="693"/>
      <c r="I12" s="705" t="s">
        <v>541</v>
      </c>
      <c r="J12" s="822" t="s">
        <v>1070</v>
      </c>
      <c r="K12" s="823"/>
      <c r="L12" s="824"/>
      <c r="M12" s="824"/>
      <c r="N12" s="824"/>
      <c r="O12" s="825"/>
      <c r="P12" s="824"/>
      <c r="Q12" s="823"/>
      <c r="R12" s="823"/>
      <c r="S12" s="823"/>
      <c r="T12" s="826"/>
      <c r="U12" s="823"/>
      <c r="V12" s="827" t="s">
        <v>1362</v>
      </c>
      <c r="W12" s="794"/>
      <c r="X12" s="828"/>
      <c r="Y12" s="829"/>
      <c r="Z12" s="696"/>
      <c r="AA12" s="696"/>
      <c r="AB12" s="696"/>
      <c r="AC12" s="774"/>
      <c r="AD12" s="678"/>
      <c r="AE12" s="719" t="s">
        <v>1078</v>
      </c>
      <c r="AF12" s="696" t="s">
        <v>1079</v>
      </c>
      <c r="AG12" s="713"/>
      <c r="AH12" s="713" t="s">
        <v>1080</v>
      </c>
      <c r="AI12" s="714"/>
      <c r="AJ12" s="710"/>
      <c r="AK12" s="710"/>
      <c r="AL12" s="710"/>
      <c r="AM12" s="710"/>
      <c r="AN12" s="710"/>
      <c r="AO12" s="710"/>
      <c r="AP12" s="710"/>
      <c r="AQ12" s="710"/>
      <c r="AR12" s="710"/>
      <c r="AS12" s="786"/>
      <c r="AT12" s="781" t="s">
        <v>1071</v>
      </c>
      <c r="AU12" s="697" t="s">
        <v>541</v>
      </c>
      <c r="AV12" s="710" t="s">
        <v>1072</v>
      </c>
      <c r="AW12" s="699" t="s">
        <v>541</v>
      </c>
      <c r="AX12" s="710" t="s">
        <v>1073</v>
      </c>
      <c r="AY12" s="697" t="s">
        <v>541</v>
      </c>
      <c r="AZ12" s="710" t="s">
        <v>1074</v>
      </c>
      <c r="BA12" s="698"/>
      <c r="BB12" s="695"/>
      <c r="BC12" s="700"/>
      <c r="BD12" s="876"/>
      <c r="BE12" s="800"/>
      <c r="BF12" s="800"/>
      <c r="BG12" s="800"/>
      <c r="BH12" s="800"/>
      <c r="BI12" s="800"/>
      <c r="BJ12" s="806"/>
      <c r="BK12" s="849"/>
      <c r="BL12" s="850"/>
      <c r="BM12" s="802"/>
      <c r="BN12" s="877"/>
      <c r="BO12" s="877"/>
      <c r="BP12" s="877"/>
    </row>
    <row r="13" spans="1:68" s="772" customFormat="1" ht="25.5">
      <c r="A13" s="681">
        <v>5</v>
      </c>
      <c r="B13" s="689" t="s">
        <v>204</v>
      </c>
      <c r="C13" s="707" t="s">
        <v>1081</v>
      </c>
      <c r="D13" s="679"/>
      <c r="E13" s="766"/>
      <c r="F13" s="709" t="s">
        <v>1997</v>
      </c>
      <c r="G13" s="709" t="s">
        <v>1997</v>
      </c>
      <c r="H13" s="709" t="s">
        <v>541</v>
      </c>
      <c r="I13" s="682" t="s">
        <v>541</v>
      </c>
      <c r="J13" s="878">
        <v>58.933</v>
      </c>
      <c r="K13" s="879">
        <v>87500</v>
      </c>
      <c r="L13" s="879"/>
      <c r="M13" s="879" t="s">
        <v>541</v>
      </c>
      <c r="N13" s="879"/>
      <c r="O13" s="879" t="s">
        <v>541</v>
      </c>
      <c r="P13" s="880"/>
      <c r="Q13" s="878" t="s">
        <v>541</v>
      </c>
      <c r="R13" s="689" t="s">
        <v>541</v>
      </c>
      <c r="S13" s="878">
        <v>0.23</v>
      </c>
      <c r="T13" s="686">
        <f>10^S13</f>
        <v>1.6982436524617444</v>
      </c>
      <c r="U13" s="879">
        <v>1.6532125137753437</v>
      </c>
      <c r="V13" s="878">
        <v>45</v>
      </c>
      <c r="W13" s="771"/>
      <c r="X13" s="870">
        <v>1E-4</v>
      </c>
      <c r="Y13" s="870">
        <v>1.4E-3</v>
      </c>
      <c r="Z13" s="720">
        <f>Y13</f>
        <v>1.4E-3</v>
      </c>
      <c r="AA13" s="720" t="s">
        <v>541</v>
      </c>
      <c r="AB13" s="720" t="s">
        <v>541</v>
      </c>
      <c r="AC13" s="773" t="s">
        <v>541</v>
      </c>
      <c r="AD13" s="721"/>
      <c r="AE13" s="779"/>
      <c r="AF13" s="720"/>
      <c r="AG13" s="720"/>
      <c r="AH13" s="720"/>
      <c r="AI13" s="721"/>
      <c r="AJ13" s="722" t="s">
        <v>2294</v>
      </c>
      <c r="AK13" s="722" t="s">
        <v>2296</v>
      </c>
      <c r="AL13" s="722" t="s">
        <v>2296</v>
      </c>
      <c r="AM13" s="722" t="s">
        <v>2298</v>
      </c>
      <c r="AN13" s="722" t="s">
        <v>2297</v>
      </c>
      <c r="AO13" s="722" t="s">
        <v>2297</v>
      </c>
      <c r="AP13" s="722" t="s">
        <v>2298</v>
      </c>
      <c r="AQ13" s="722" t="s">
        <v>2297</v>
      </c>
      <c r="AR13" s="722" t="s">
        <v>2298</v>
      </c>
      <c r="AS13" s="809"/>
      <c r="AT13" s="807"/>
      <c r="AU13" s="686"/>
      <c r="AV13" s="722"/>
      <c r="AW13" s="686"/>
      <c r="AX13" s="723"/>
      <c r="AY13" s="686"/>
      <c r="AZ13" s="722"/>
      <c r="BA13" s="689"/>
      <c r="BB13" s="684"/>
      <c r="BC13" s="691">
        <v>9.2000000000000003E-4</v>
      </c>
      <c r="BD13" s="691">
        <v>9.2000000000000003E-4</v>
      </c>
      <c r="BE13" s="691">
        <v>9.2000000000000003E-4</v>
      </c>
      <c r="BF13" s="881">
        <v>8.2399999999999997E-5</v>
      </c>
      <c r="BG13" s="691">
        <v>9.2000000000000003E-4</v>
      </c>
      <c r="BH13" s="799">
        <v>3.5000000000000003E-2</v>
      </c>
      <c r="BI13" s="799">
        <v>3.5000000000000003E-2</v>
      </c>
      <c r="BJ13" s="795"/>
      <c r="BK13" s="870"/>
      <c r="BL13" s="882"/>
      <c r="BM13" s="771"/>
      <c r="BN13" s="882">
        <v>1E-3</v>
      </c>
      <c r="BO13" s="870">
        <v>0.25</v>
      </c>
      <c r="BP13" s="870">
        <v>1</v>
      </c>
    </row>
    <row r="14" spans="1:68" s="772" customFormat="1" ht="76.5">
      <c r="A14" s="681"/>
      <c r="B14" s="692"/>
      <c r="C14" s="707"/>
      <c r="D14" s="679"/>
      <c r="E14" s="766"/>
      <c r="F14" s="693"/>
      <c r="G14" s="693"/>
      <c r="H14" s="693"/>
      <c r="I14" s="705" t="s">
        <v>541</v>
      </c>
      <c r="J14" s="883" t="s">
        <v>2201</v>
      </c>
      <c r="K14" s="883" t="s">
        <v>2237</v>
      </c>
      <c r="L14" s="883"/>
      <c r="M14" s="883" t="s">
        <v>2238</v>
      </c>
      <c r="N14" s="883"/>
      <c r="O14" s="883" t="s">
        <v>541</v>
      </c>
      <c r="P14" s="884"/>
      <c r="Q14" s="884"/>
      <c r="R14" s="692"/>
      <c r="S14" s="885" t="s">
        <v>2239</v>
      </c>
      <c r="T14" s="686"/>
      <c r="U14" s="885" t="s">
        <v>2240</v>
      </c>
      <c r="V14" s="885" t="s">
        <v>2241</v>
      </c>
      <c r="W14" s="974"/>
      <c r="X14" s="874" t="s">
        <v>2242</v>
      </c>
      <c r="Y14" s="874" t="s">
        <v>2243</v>
      </c>
      <c r="Z14" s="696"/>
      <c r="AA14" s="696"/>
      <c r="AB14" s="696"/>
      <c r="AC14" s="774"/>
      <c r="AD14" s="678"/>
      <c r="AE14" s="719"/>
      <c r="AF14" s="696"/>
      <c r="AG14" s="713"/>
      <c r="AH14" s="713"/>
      <c r="AI14" s="714"/>
      <c r="AJ14" s="710" t="s">
        <v>2295</v>
      </c>
      <c r="AK14" s="710" t="s">
        <v>2295</v>
      </c>
      <c r="AL14" s="710" t="s">
        <v>2295</v>
      </c>
      <c r="AM14" s="710" t="s">
        <v>2295</v>
      </c>
      <c r="AN14" s="710" t="s">
        <v>2295</v>
      </c>
      <c r="AO14" s="710" t="s">
        <v>2295</v>
      </c>
      <c r="AP14" s="710" t="s">
        <v>2295</v>
      </c>
      <c r="AQ14" s="710" t="s">
        <v>2295</v>
      </c>
      <c r="AR14" s="710" t="s">
        <v>2295</v>
      </c>
      <c r="AS14" s="786"/>
      <c r="AT14" s="781"/>
      <c r="AU14" s="697"/>
      <c r="AV14" s="710"/>
      <c r="AW14" s="699"/>
      <c r="AX14" s="710"/>
      <c r="AY14" s="697"/>
      <c r="AZ14" s="710"/>
      <c r="BA14" s="698"/>
      <c r="BB14" s="695"/>
      <c r="BC14" s="874" t="s">
        <v>2210</v>
      </c>
      <c r="BD14" s="870" t="s">
        <v>2160</v>
      </c>
      <c r="BE14" s="870" t="s">
        <v>2160</v>
      </c>
      <c r="BF14" s="874" t="s">
        <v>2210</v>
      </c>
      <c r="BG14" s="870" t="s">
        <v>2160</v>
      </c>
      <c r="BH14" s="874" t="s">
        <v>2210</v>
      </c>
      <c r="BI14" s="874" t="s">
        <v>2510</v>
      </c>
      <c r="BJ14" s="806"/>
      <c r="BK14" s="874"/>
      <c r="BL14" s="874"/>
      <c r="BM14" s="771"/>
      <c r="BN14" s="874" t="s">
        <v>2208</v>
      </c>
      <c r="BO14" s="874" t="s">
        <v>2208</v>
      </c>
      <c r="BP14" s="874" t="s">
        <v>2208</v>
      </c>
    </row>
    <row r="15" spans="1:68" s="772" customFormat="1">
      <c r="A15" s="681">
        <v>6</v>
      </c>
      <c r="B15" s="689" t="s">
        <v>205</v>
      </c>
      <c r="C15" s="707" t="s">
        <v>1082</v>
      </c>
      <c r="D15" s="679"/>
      <c r="E15" s="766"/>
      <c r="F15" s="709" t="s">
        <v>1997</v>
      </c>
      <c r="G15" s="709" t="s">
        <v>541</v>
      </c>
      <c r="H15" s="709" t="s">
        <v>541</v>
      </c>
      <c r="I15" s="682" t="s">
        <v>541</v>
      </c>
      <c r="J15" s="830">
        <v>118.71</v>
      </c>
      <c r="K15" s="831"/>
      <c r="L15" s="832"/>
      <c r="M15" s="833"/>
      <c r="N15" s="834"/>
      <c r="O15" s="831"/>
      <c r="P15" s="832"/>
      <c r="Q15" s="831"/>
      <c r="R15" s="831"/>
      <c r="S15" s="835"/>
      <c r="T15" s="835"/>
      <c r="U15" s="835"/>
      <c r="V15" s="836">
        <v>250</v>
      </c>
      <c r="W15" s="674"/>
      <c r="X15" s="837"/>
      <c r="Y15" s="838"/>
      <c r="Z15" s="720"/>
      <c r="AA15" s="720"/>
      <c r="AB15" s="720"/>
      <c r="AC15" s="773"/>
      <c r="AD15" s="721"/>
      <c r="AE15" s="779">
        <v>0.2</v>
      </c>
      <c r="AF15" s="720"/>
      <c r="AG15" s="720"/>
      <c r="AH15" s="720"/>
      <c r="AI15" s="721"/>
      <c r="AJ15" s="722"/>
      <c r="AK15" s="722"/>
      <c r="AL15" s="722"/>
      <c r="AM15" s="722"/>
      <c r="AN15" s="722"/>
      <c r="AO15" s="722"/>
      <c r="AP15" s="722"/>
      <c r="AQ15" s="722"/>
      <c r="AR15" s="722"/>
      <c r="AS15" s="809"/>
      <c r="AT15" s="807">
        <v>6.3802999999999999E-5</v>
      </c>
      <c r="AU15" s="686"/>
      <c r="AV15" s="722">
        <v>1.3341000000000001E-4</v>
      </c>
      <c r="AW15" s="686"/>
      <c r="AX15" s="723">
        <v>2.1268E-4</v>
      </c>
      <c r="AY15" s="686"/>
      <c r="AZ15" s="722">
        <v>2.1579999999999999E-4</v>
      </c>
      <c r="BA15" s="689"/>
      <c r="BB15" s="684"/>
      <c r="BC15" s="691"/>
      <c r="BD15" s="799"/>
      <c r="BE15" s="799"/>
      <c r="BF15" s="799"/>
      <c r="BG15" s="799"/>
      <c r="BH15" s="799"/>
      <c r="BI15" s="799"/>
      <c r="BJ15" s="795"/>
      <c r="BK15" s="851"/>
      <c r="BL15" s="852"/>
      <c r="BM15" s="802"/>
      <c r="BN15" s="886"/>
      <c r="BO15" s="886"/>
      <c r="BP15" s="886"/>
    </row>
    <row r="16" spans="1:68" s="772" customFormat="1" ht="127.5">
      <c r="A16" s="681"/>
      <c r="B16" s="692"/>
      <c r="C16" s="707"/>
      <c r="D16" s="679"/>
      <c r="E16" s="766"/>
      <c r="F16" s="693"/>
      <c r="G16" s="693"/>
      <c r="H16" s="693"/>
      <c r="I16" s="705" t="s">
        <v>541</v>
      </c>
      <c r="J16" s="693" t="s">
        <v>1070</v>
      </c>
      <c r="K16" s="692"/>
      <c r="L16" s="694"/>
      <c r="M16" s="694"/>
      <c r="N16" s="694"/>
      <c r="O16" s="688"/>
      <c r="P16" s="694"/>
      <c r="Q16" s="692"/>
      <c r="R16" s="692"/>
      <c r="S16" s="692"/>
      <c r="T16" s="686"/>
      <c r="U16" s="692"/>
      <c r="V16" s="789" t="s">
        <v>1362</v>
      </c>
      <c r="W16" s="794"/>
      <c r="X16" s="719"/>
      <c r="Y16" s="696"/>
      <c r="Z16" s="696"/>
      <c r="AA16" s="696"/>
      <c r="AB16" s="696"/>
      <c r="AC16" s="774"/>
      <c r="AD16" s="678"/>
      <c r="AE16" s="719" t="s">
        <v>1083</v>
      </c>
      <c r="AF16" s="696"/>
      <c r="AG16" s="713"/>
      <c r="AH16" s="713"/>
      <c r="AI16" s="714"/>
      <c r="AJ16" s="710"/>
      <c r="AK16" s="710"/>
      <c r="AL16" s="710"/>
      <c r="AM16" s="710"/>
      <c r="AN16" s="710"/>
      <c r="AO16" s="710"/>
      <c r="AP16" s="710"/>
      <c r="AQ16" s="710"/>
      <c r="AR16" s="710"/>
      <c r="AS16" s="786"/>
      <c r="AT16" s="781" t="s">
        <v>1071</v>
      </c>
      <c r="AU16" s="697" t="s">
        <v>541</v>
      </c>
      <c r="AV16" s="710" t="s">
        <v>1072</v>
      </c>
      <c r="AW16" s="699" t="s">
        <v>541</v>
      </c>
      <c r="AX16" s="710" t="s">
        <v>1073</v>
      </c>
      <c r="AY16" s="697" t="s">
        <v>541</v>
      </c>
      <c r="AZ16" s="710" t="s">
        <v>1074</v>
      </c>
      <c r="BA16" s="698"/>
      <c r="BB16" s="695"/>
      <c r="BC16" s="700"/>
      <c r="BD16" s="800"/>
      <c r="BE16" s="800"/>
      <c r="BF16" s="800"/>
      <c r="BG16" s="800"/>
      <c r="BH16" s="800"/>
      <c r="BI16" s="800"/>
      <c r="BJ16" s="806"/>
      <c r="BK16" s="804"/>
      <c r="BL16" s="800"/>
      <c r="BM16" s="802"/>
      <c r="BN16" s="869"/>
      <c r="BO16" s="869"/>
      <c r="BP16" s="869"/>
    </row>
    <row r="17" spans="1:68" s="772" customFormat="1" ht="25.5">
      <c r="A17" s="681">
        <v>7</v>
      </c>
      <c r="B17" s="689" t="s">
        <v>206</v>
      </c>
      <c r="C17" s="707" t="s">
        <v>1084</v>
      </c>
      <c r="D17" s="679"/>
      <c r="E17" s="766"/>
      <c r="F17" s="709" t="s">
        <v>1997</v>
      </c>
      <c r="G17" s="709" t="s">
        <v>1997</v>
      </c>
      <c r="H17" s="709" t="s">
        <v>541</v>
      </c>
      <c r="I17" s="682" t="s">
        <v>541</v>
      </c>
      <c r="J17" s="626">
        <v>54.938000000000002</v>
      </c>
      <c r="K17" s="626">
        <v>87170</v>
      </c>
      <c r="L17" s="626">
        <v>25</v>
      </c>
      <c r="M17" s="626">
        <v>3.1807951987997E-11</v>
      </c>
      <c r="N17" s="626">
        <v>25</v>
      </c>
      <c r="O17" s="626">
        <v>2483.05908</v>
      </c>
      <c r="P17" s="626">
        <v>25</v>
      </c>
      <c r="Q17" s="626" t="s">
        <v>541</v>
      </c>
      <c r="R17" s="689" t="s">
        <v>541</v>
      </c>
      <c r="S17" s="626">
        <v>0.23</v>
      </c>
      <c r="T17" s="686">
        <f>10^S17</f>
        <v>1.6982436524617444</v>
      </c>
      <c r="U17" s="686">
        <f>LOG(V17)</f>
        <v>1.8129133566428555</v>
      </c>
      <c r="V17" s="626">
        <v>65</v>
      </c>
      <c r="W17" s="674"/>
      <c r="X17" s="752">
        <v>2.9999999999999997E-4</v>
      </c>
      <c r="Y17" s="752">
        <v>0.06</v>
      </c>
      <c r="Z17" s="720">
        <f>Y17</f>
        <v>0.06</v>
      </c>
      <c r="AA17" s="720" t="s">
        <v>541</v>
      </c>
      <c r="AB17" s="720" t="s">
        <v>541</v>
      </c>
      <c r="AC17" s="773" t="s">
        <v>541</v>
      </c>
      <c r="AD17" s="721"/>
      <c r="AE17" s="779"/>
      <c r="AF17" s="720"/>
      <c r="AG17" s="720"/>
      <c r="AH17" s="720"/>
      <c r="AI17" s="721"/>
      <c r="AJ17" s="722" t="s">
        <v>2308</v>
      </c>
      <c r="AK17" s="722" t="s">
        <v>2309</v>
      </c>
      <c r="AL17" s="722" t="s">
        <v>2309</v>
      </c>
      <c r="AM17" s="722" t="s">
        <v>2311</v>
      </c>
      <c r="AN17" s="722" t="s">
        <v>2310</v>
      </c>
      <c r="AO17" s="722" t="s">
        <v>2310</v>
      </c>
      <c r="AP17" s="722" t="s">
        <v>2311</v>
      </c>
      <c r="AQ17" s="722" t="s">
        <v>2310</v>
      </c>
      <c r="AR17" s="722" t="s">
        <v>2311</v>
      </c>
      <c r="AS17" s="809"/>
      <c r="AT17" s="807"/>
      <c r="AU17" s="686"/>
      <c r="AV17" s="722"/>
      <c r="AW17" s="686"/>
      <c r="AX17" s="722"/>
      <c r="AY17" s="686"/>
      <c r="AZ17" s="722"/>
      <c r="BA17" s="689"/>
      <c r="BB17" s="684"/>
      <c r="BC17" s="807">
        <v>3.1E-4</v>
      </c>
      <c r="BD17" s="807">
        <v>3.1E-4</v>
      </c>
      <c r="BE17" s="807">
        <v>3.1E-4</v>
      </c>
      <c r="BF17" s="686">
        <v>7.4599999999999997E-6</v>
      </c>
      <c r="BG17" s="807">
        <v>3.1E-4</v>
      </c>
      <c r="BH17" s="799">
        <v>1.6E-2</v>
      </c>
      <c r="BI17" s="799">
        <v>1.6E-2</v>
      </c>
      <c r="BJ17" s="795"/>
      <c r="BK17" s="752"/>
      <c r="BL17" s="887"/>
      <c r="BM17" s="802"/>
      <c r="BN17" s="887">
        <v>1E-3</v>
      </c>
      <c r="BO17" s="752">
        <v>0.25</v>
      </c>
      <c r="BP17" s="752">
        <v>1</v>
      </c>
    </row>
    <row r="18" spans="1:68" s="772" customFormat="1" ht="120">
      <c r="A18" s="681"/>
      <c r="B18" s="692"/>
      <c r="C18" s="707"/>
      <c r="D18" s="679"/>
      <c r="E18" s="766"/>
      <c r="F18" s="693"/>
      <c r="G18" s="693"/>
      <c r="H18" s="693"/>
      <c r="I18" s="705"/>
      <c r="J18" s="888" t="s">
        <v>2299</v>
      </c>
      <c r="K18" s="888" t="s">
        <v>2300</v>
      </c>
      <c r="L18" s="888"/>
      <c r="M18" s="888" t="s">
        <v>2301</v>
      </c>
      <c r="N18" s="888"/>
      <c r="O18" s="888" t="s">
        <v>2302</v>
      </c>
      <c r="P18" s="888"/>
      <c r="Q18" s="888"/>
      <c r="R18" s="692"/>
      <c r="S18" s="888" t="s">
        <v>2303</v>
      </c>
      <c r="T18" s="686"/>
      <c r="U18" s="692" t="s">
        <v>2305</v>
      </c>
      <c r="V18" s="888" t="s">
        <v>2304</v>
      </c>
      <c r="W18" s="794"/>
      <c r="X18" s="889" t="s">
        <v>2307</v>
      </c>
      <c r="Y18" s="889" t="s">
        <v>2306</v>
      </c>
      <c r="Z18" s="696"/>
      <c r="AA18" s="696"/>
      <c r="AB18" s="696"/>
      <c r="AC18" s="774"/>
      <c r="AD18" s="678"/>
      <c r="AE18" s="719"/>
      <c r="AF18" s="696"/>
      <c r="AG18" s="713"/>
      <c r="AH18" s="713"/>
      <c r="AI18" s="714"/>
      <c r="AJ18" s="710" t="s">
        <v>2295</v>
      </c>
      <c r="AK18" s="710" t="s">
        <v>2295</v>
      </c>
      <c r="AL18" s="710" t="s">
        <v>2295</v>
      </c>
      <c r="AM18" s="710" t="s">
        <v>2295</v>
      </c>
      <c r="AN18" s="710" t="s">
        <v>2295</v>
      </c>
      <c r="AO18" s="710" t="s">
        <v>2295</v>
      </c>
      <c r="AP18" s="710" t="s">
        <v>2295</v>
      </c>
      <c r="AQ18" s="710" t="s">
        <v>2295</v>
      </c>
      <c r="AR18" s="710" t="s">
        <v>2295</v>
      </c>
      <c r="AS18" s="786"/>
      <c r="AT18" s="781"/>
      <c r="AU18" s="697"/>
      <c r="AV18" s="710"/>
      <c r="AW18" s="699"/>
      <c r="AX18" s="710"/>
      <c r="AY18" s="697"/>
      <c r="AZ18" s="710"/>
      <c r="BA18" s="698"/>
      <c r="BB18" s="695"/>
      <c r="BC18" s="874" t="s">
        <v>2210</v>
      </c>
      <c r="BD18" s="870" t="s">
        <v>2160</v>
      </c>
      <c r="BE18" s="870" t="s">
        <v>2160</v>
      </c>
      <c r="BF18" s="874" t="s">
        <v>2210</v>
      </c>
      <c r="BG18" s="870" t="s">
        <v>2160</v>
      </c>
      <c r="BH18" s="874" t="s">
        <v>2210</v>
      </c>
      <c r="BI18" s="874" t="s">
        <v>2510</v>
      </c>
      <c r="BJ18" s="806"/>
      <c r="BK18" s="889"/>
      <c r="BL18" s="889"/>
      <c r="BM18" s="802"/>
      <c r="BN18" s="889" t="s">
        <v>2208</v>
      </c>
      <c r="BO18" s="889" t="s">
        <v>2208</v>
      </c>
      <c r="BP18" s="889" t="s">
        <v>2208</v>
      </c>
    </row>
    <row r="19" spans="1:68" s="772" customFormat="1">
      <c r="A19" s="681">
        <v>8</v>
      </c>
      <c r="B19" s="689" t="s">
        <v>207</v>
      </c>
      <c r="C19" s="707" t="s">
        <v>1085</v>
      </c>
      <c r="D19" s="679"/>
      <c r="E19" s="766"/>
      <c r="F19" s="709" t="s">
        <v>1997</v>
      </c>
      <c r="G19" s="709" t="s">
        <v>1997</v>
      </c>
      <c r="H19" s="709" t="s">
        <v>541</v>
      </c>
      <c r="I19" s="682" t="s">
        <v>541</v>
      </c>
      <c r="J19" s="709">
        <v>95.94</v>
      </c>
      <c r="K19" s="689"/>
      <c r="L19" s="687"/>
      <c r="M19" s="710"/>
      <c r="N19" s="702"/>
      <c r="O19" s="689"/>
      <c r="P19" s="687"/>
      <c r="Q19" s="689"/>
      <c r="R19" s="689"/>
      <c r="S19" s="686"/>
      <c r="T19" s="686"/>
      <c r="U19" s="686"/>
      <c r="V19" s="789">
        <v>20</v>
      </c>
      <c r="W19" s="674"/>
      <c r="X19" s="779">
        <v>4.0000000000000002E-4</v>
      </c>
      <c r="Y19" s="720">
        <v>5.0000000000000001E-3</v>
      </c>
      <c r="Z19" s="720">
        <v>5.0000000000000001E-3</v>
      </c>
      <c r="AA19" s="720" t="s">
        <v>541</v>
      </c>
      <c r="AB19" s="720" t="s">
        <v>541</v>
      </c>
      <c r="AC19" s="773" t="s">
        <v>541</v>
      </c>
      <c r="AD19" s="721"/>
      <c r="AE19" s="779"/>
      <c r="AF19" s="720"/>
      <c r="AG19" s="720"/>
      <c r="AH19" s="720"/>
      <c r="AI19" s="721"/>
      <c r="AJ19" s="722">
        <v>0.57240400872533004</v>
      </c>
      <c r="AK19" s="722">
        <v>0.31236974749441399</v>
      </c>
      <c r="AL19" s="722">
        <v>0.31236974749441399</v>
      </c>
      <c r="AM19" s="722">
        <v>3.1202999999999999</v>
      </c>
      <c r="AN19" s="722">
        <v>1.3048999999999999</v>
      </c>
      <c r="AO19" s="722">
        <v>1.3048999999999999</v>
      </c>
      <c r="AP19" s="722">
        <v>3.1202999999999999</v>
      </c>
      <c r="AQ19" s="722">
        <v>1.3048999999999999</v>
      </c>
      <c r="AR19" s="722">
        <v>3.1202999999999999</v>
      </c>
      <c r="AS19" s="809"/>
      <c r="AT19" s="807"/>
      <c r="AU19" s="686"/>
      <c r="AV19" s="722"/>
      <c r="AW19" s="686"/>
      <c r="AX19" s="722"/>
      <c r="AY19" s="686"/>
      <c r="AZ19" s="722"/>
      <c r="BA19" s="689"/>
      <c r="BB19" s="684"/>
      <c r="BC19" s="691">
        <v>9.1E-4</v>
      </c>
      <c r="BD19" s="691">
        <v>9.1E-4</v>
      </c>
      <c r="BE19" s="691">
        <v>9.1E-4</v>
      </c>
      <c r="BF19" s="890">
        <v>1.2596899224806201E-3</v>
      </c>
      <c r="BG19" s="691">
        <v>9.1E-4</v>
      </c>
      <c r="BH19" s="799">
        <v>0</v>
      </c>
      <c r="BI19" s="799">
        <v>0.6</v>
      </c>
      <c r="BJ19" s="795"/>
      <c r="BK19" s="803"/>
      <c r="BL19" s="799"/>
      <c r="BM19" s="802"/>
      <c r="BN19" s="869">
        <v>1E-4</v>
      </c>
      <c r="BO19" s="869">
        <v>0.25</v>
      </c>
      <c r="BP19" s="870">
        <v>1</v>
      </c>
    </row>
    <row r="20" spans="1:68" s="772" customFormat="1" ht="127.5" customHeight="1">
      <c r="A20" s="681"/>
      <c r="B20" s="692"/>
      <c r="C20" s="707"/>
      <c r="D20" s="679"/>
      <c r="E20" s="766"/>
      <c r="F20" s="693"/>
      <c r="G20" s="693"/>
      <c r="H20" s="693"/>
      <c r="I20" s="705" t="s">
        <v>541</v>
      </c>
      <c r="J20" s="822" t="s">
        <v>2030</v>
      </c>
      <c r="K20" s="823"/>
      <c r="L20" s="824"/>
      <c r="M20" s="824"/>
      <c r="N20" s="824"/>
      <c r="O20" s="825"/>
      <c r="P20" s="824"/>
      <c r="Q20" s="823"/>
      <c r="R20" s="823"/>
      <c r="S20" s="823"/>
      <c r="T20" s="826"/>
      <c r="U20" s="823"/>
      <c r="V20" s="827" t="s">
        <v>2034</v>
      </c>
      <c r="W20" s="794"/>
      <c r="X20" s="828" t="s">
        <v>2120</v>
      </c>
      <c r="Y20" s="829" t="s">
        <v>2121</v>
      </c>
      <c r="Z20" s="696" t="s">
        <v>2121</v>
      </c>
      <c r="AA20" s="696"/>
      <c r="AB20" s="696"/>
      <c r="AC20" s="774"/>
      <c r="AD20" s="678"/>
      <c r="AE20" s="719"/>
      <c r="AF20" s="696"/>
      <c r="AG20" s="713"/>
      <c r="AH20" s="713"/>
      <c r="AI20" s="714"/>
      <c r="AJ20" s="696" t="s">
        <v>2189</v>
      </c>
      <c r="AK20" s="696" t="s">
        <v>2190</v>
      </c>
      <c r="AL20" s="696" t="s">
        <v>2190</v>
      </c>
      <c r="AM20" s="696" t="s">
        <v>2191</v>
      </c>
      <c r="AN20" s="696" t="s">
        <v>2192</v>
      </c>
      <c r="AO20" s="696" t="s">
        <v>2192</v>
      </c>
      <c r="AP20" s="696" t="s">
        <v>2191</v>
      </c>
      <c r="AQ20" s="696" t="s">
        <v>2192</v>
      </c>
      <c r="AR20" s="696" t="s">
        <v>2191</v>
      </c>
      <c r="AS20" s="786"/>
      <c r="AT20" s="781"/>
      <c r="AU20" s="697"/>
      <c r="AV20" s="710"/>
      <c r="AW20" s="699"/>
      <c r="AX20" s="710"/>
      <c r="AY20" s="697"/>
      <c r="AZ20" s="710"/>
      <c r="BA20" s="698"/>
      <c r="BB20" s="695"/>
      <c r="BC20" s="870" t="s">
        <v>2159</v>
      </c>
      <c r="BD20" s="870" t="s">
        <v>2160</v>
      </c>
      <c r="BE20" s="870" t="s">
        <v>2160</v>
      </c>
      <c r="BF20" s="870" t="s">
        <v>2161</v>
      </c>
      <c r="BG20" s="870" t="s">
        <v>2160</v>
      </c>
      <c r="BH20" s="872" t="s">
        <v>2158</v>
      </c>
      <c r="BI20" s="872" t="s">
        <v>2159</v>
      </c>
      <c r="BJ20" s="806"/>
      <c r="BK20" s="849"/>
      <c r="BL20" s="850"/>
      <c r="BM20" s="802"/>
      <c r="BN20" s="891" t="s">
        <v>2147</v>
      </c>
      <c r="BO20" s="891" t="s">
        <v>2147</v>
      </c>
      <c r="BP20" s="874" t="s">
        <v>2208</v>
      </c>
    </row>
    <row r="21" spans="1:68" s="772" customFormat="1" ht="25.5">
      <c r="A21" s="681">
        <v>9</v>
      </c>
      <c r="B21" s="689" t="s">
        <v>208</v>
      </c>
      <c r="C21" s="707" t="s">
        <v>1086</v>
      </c>
      <c r="D21" s="679"/>
      <c r="E21" s="766"/>
      <c r="F21" s="709" t="s">
        <v>1997</v>
      </c>
      <c r="G21" s="709" t="s">
        <v>1997</v>
      </c>
      <c r="H21" s="709" t="s">
        <v>541</v>
      </c>
      <c r="I21" s="682" t="s">
        <v>541</v>
      </c>
      <c r="J21" s="878">
        <v>78.959999999999994</v>
      </c>
      <c r="K21" s="878" t="s">
        <v>541</v>
      </c>
      <c r="L21" s="878"/>
      <c r="M21" s="878">
        <v>0.1</v>
      </c>
      <c r="N21" s="878">
        <v>20</v>
      </c>
      <c r="O21" s="878">
        <v>986.90550000000007</v>
      </c>
      <c r="P21" s="880"/>
      <c r="Q21" s="878" t="s">
        <v>541</v>
      </c>
      <c r="R21" s="689" t="s">
        <v>541</v>
      </c>
      <c r="S21" s="878">
        <v>0.24</v>
      </c>
      <c r="T21" s="686">
        <f>10^S21</f>
        <v>1.7378008287493756</v>
      </c>
      <c r="U21" s="686">
        <f>LOG(V21)</f>
        <v>2.0963807643110526</v>
      </c>
      <c r="V21" s="687">
        <f>GEOMEAN(94.73,149.29,147.68,211.78,274,58,135.48,68.56,103.04,30.13,15.27,168.16,172.22,227.83,406,173,221,189,53,128,260 )</f>
        <v>124.84776276002174</v>
      </c>
      <c r="W21" s="771"/>
      <c r="X21" s="870">
        <v>0.02</v>
      </c>
      <c r="Y21" s="870">
        <v>5.0000000000000001E-3</v>
      </c>
      <c r="Z21" s="720">
        <f>Y21</f>
        <v>5.0000000000000001E-3</v>
      </c>
      <c r="AA21" s="720" t="s">
        <v>541</v>
      </c>
      <c r="AB21" s="720" t="s">
        <v>541</v>
      </c>
      <c r="AC21" s="773" t="s">
        <v>541</v>
      </c>
      <c r="AD21" s="721"/>
      <c r="AE21" s="779"/>
      <c r="AF21" s="720"/>
      <c r="AG21" s="720"/>
      <c r="AH21" s="720"/>
      <c r="AI21" s="721"/>
      <c r="AJ21" s="722" t="s">
        <v>2319</v>
      </c>
      <c r="AK21" s="722" t="s">
        <v>2320</v>
      </c>
      <c r="AL21" s="722" t="s">
        <v>2320</v>
      </c>
      <c r="AM21" s="722" t="s">
        <v>2322</v>
      </c>
      <c r="AN21" s="722" t="s">
        <v>2321</v>
      </c>
      <c r="AO21" s="722" t="s">
        <v>2321</v>
      </c>
      <c r="AP21" s="722" t="s">
        <v>2322</v>
      </c>
      <c r="AQ21" s="722" t="s">
        <v>2321</v>
      </c>
      <c r="AR21" s="722" t="s">
        <v>2322</v>
      </c>
      <c r="AS21" s="809"/>
      <c r="AT21" s="807"/>
      <c r="AU21" s="686"/>
      <c r="AV21" s="722"/>
      <c r="AW21" s="686"/>
      <c r="AX21" s="722"/>
      <c r="AY21" s="686"/>
      <c r="AZ21" s="722"/>
      <c r="BA21" s="689"/>
      <c r="BB21" s="684"/>
      <c r="BC21" s="691">
        <v>3.3000000000000002E-2</v>
      </c>
      <c r="BD21" s="691">
        <v>3.3000000000000002E-2</v>
      </c>
      <c r="BE21" s="691">
        <v>3.3000000000000002E-2</v>
      </c>
      <c r="BF21" s="799">
        <v>3.0000000000000001E-3</v>
      </c>
      <c r="BG21" s="691">
        <v>3.3000000000000002E-2</v>
      </c>
      <c r="BH21" s="799">
        <v>3</v>
      </c>
      <c r="BI21" s="799">
        <v>3</v>
      </c>
      <c r="BJ21" s="795"/>
      <c r="BK21" s="870">
        <v>3.3000000000000002E-2</v>
      </c>
      <c r="BL21" s="870">
        <v>3.0000000000000001E-3</v>
      </c>
      <c r="BM21" s="771"/>
      <c r="BN21" s="882">
        <v>1E-3</v>
      </c>
      <c r="BO21" s="870">
        <v>0.25</v>
      </c>
      <c r="BP21" s="870">
        <v>1</v>
      </c>
    </row>
    <row r="22" spans="1:68" s="772" customFormat="1" ht="89.25">
      <c r="A22" s="681"/>
      <c r="B22" s="692"/>
      <c r="C22" s="707"/>
      <c r="D22" s="679"/>
      <c r="E22" s="766"/>
      <c r="F22" s="693"/>
      <c r="G22" s="693"/>
      <c r="H22" s="693"/>
      <c r="I22" s="705" t="s">
        <v>541</v>
      </c>
      <c r="J22" s="883" t="s">
        <v>2201</v>
      </c>
      <c r="K22" s="885" t="s">
        <v>2312</v>
      </c>
      <c r="L22" s="884"/>
      <c r="M22" s="892" t="s">
        <v>2313</v>
      </c>
      <c r="N22" s="884"/>
      <c r="O22" s="892" t="s">
        <v>2314</v>
      </c>
      <c r="P22" s="884"/>
      <c r="Q22" s="884"/>
      <c r="R22" s="692"/>
      <c r="S22" s="885" t="s">
        <v>2315</v>
      </c>
      <c r="T22" s="686"/>
      <c r="U22" s="692" t="s">
        <v>2317</v>
      </c>
      <c r="V22" s="687" t="s">
        <v>2316</v>
      </c>
      <c r="W22" s="974"/>
      <c r="X22" s="874" t="s">
        <v>2266</v>
      </c>
      <c r="Y22" s="874" t="s">
        <v>2318</v>
      </c>
      <c r="Z22" s="696"/>
      <c r="AA22" s="696"/>
      <c r="AB22" s="696"/>
      <c r="AC22" s="774"/>
      <c r="AD22" s="678"/>
      <c r="AE22" s="719"/>
      <c r="AF22" s="696"/>
      <c r="AG22" s="713"/>
      <c r="AH22" s="713"/>
      <c r="AI22" s="714"/>
      <c r="AJ22" s="710" t="s">
        <v>2295</v>
      </c>
      <c r="AK22" s="710" t="s">
        <v>2295</v>
      </c>
      <c r="AL22" s="710" t="s">
        <v>2295</v>
      </c>
      <c r="AM22" s="710" t="s">
        <v>2295</v>
      </c>
      <c r="AN22" s="710" t="s">
        <v>2295</v>
      </c>
      <c r="AO22" s="710" t="s">
        <v>2295</v>
      </c>
      <c r="AP22" s="710" t="s">
        <v>2295</v>
      </c>
      <c r="AQ22" s="710" t="s">
        <v>2295</v>
      </c>
      <c r="AR22" s="710" t="s">
        <v>2295</v>
      </c>
      <c r="AS22" s="786"/>
      <c r="AT22" s="781"/>
      <c r="AU22" s="697"/>
      <c r="AV22" s="710"/>
      <c r="AW22" s="699"/>
      <c r="AX22" s="710"/>
      <c r="AY22" s="697"/>
      <c r="AZ22" s="710"/>
      <c r="BA22" s="698"/>
      <c r="BB22" s="695"/>
      <c r="BC22" s="874" t="s">
        <v>2210</v>
      </c>
      <c r="BD22" s="870" t="s">
        <v>2160</v>
      </c>
      <c r="BE22" s="870" t="s">
        <v>2160</v>
      </c>
      <c r="BF22" s="874" t="s">
        <v>2210</v>
      </c>
      <c r="BG22" s="870" t="s">
        <v>2160</v>
      </c>
      <c r="BH22" s="874" t="s">
        <v>2210</v>
      </c>
      <c r="BI22" s="874" t="s">
        <v>2510</v>
      </c>
      <c r="BJ22" s="806"/>
      <c r="BK22" s="874" t="s">
        <v>2210</v>
      </c>
      <c r="BL22" s="874" t="s">
        <v>2210</v>
      </c>
      <c r="BM22" s="771"/>
      <c r="BN22" s="874" t="s">
        <v>2208</v>
      </c>
      <c r="BO22" s="874" t="s">
        <v>2208</v>
      </c>
      <c r="BP22" s="874" t="s">
        <v>2208</v>
      </c>
    </row>
    <row r="23" spans="1:68" s="772" customFormat="1">
      <c r="A23" s="681">
        <v>10</v>
      </c>
      <c r="B23" s="689" t="s">
        <v>210</v>
      </c>
      <c r="C23" s="707" t="s">
        <v>1087</v>
      </c>
      <c r="D23" s="679"/>
      <c r="E23" s="766"/>
      <c r="F23" s="709" t="s">
        <v>1997</v>
      </c>
      <c r="G23" s="709" t="s">
        <v>541</v>
      </c>
      <c r="H23" s="709" t="s">
        <v>541</v>
      </c>
      <c r="I23" s="682" t="s">
        <v>541</v>
      </c>
      <c r="J23" s="830">
        <v>47.866999999999997</v>
      </c>
      <c r="K23" s="831"/>
      <c r="L23" s="832"/>
      <c r="M23" s="833"/>
      <c r="N23" s="834"/>
      <c r="O23" s="831"/>
      <c r="P23" s="832"/>
      <c r="Q23" s="831"/>
      <c r="R23" s="831"/>
      <c r="S23" s="835"/>
      <c r="T23" s="835"/>
      <c r="U23" s="835"/>
      <c r="V23" s="836" t="s">
        <v>506</v>
      </c>
      <c r="W23" s="674"/>
      <c r="X23" s="837"/>
      <c r="Y23" s="838"/>
      <c r="Z23" s="720"/>
      <c r="AA23" s="720"/>
      <c r="AB23" s="720"/>
      <c r="AC23" s="773"/>
      <c r="AD23" s="721"/>
      <c r="AE23" s="779">
        <v>3</v>
      </c>
      <c r="AF23" s="720"/>
      <c r="AG23" s="720"/>
      <c r="AH23" s="720"/>
      <c r="AI23" s="721"/>
      <c r="AJ23" s="710"/>
      <c r="AK23" s="710"/>
      <c r="AL23" s="710"/>
      <c r="AM23" s="710"/>
      <c r="AN23" s="710"/>
      <c r="AO23" s="710"/>
      <c r="AP23" s="710"/>
      <c r="AQ23" s="710"/>
      <c r="AR23" s="710"/>
      <c r="AS23" s="786"/>
      <c r="AT23" s="781"/>
      <c r="AU23" s="686"/>
      <c r="AV23" s="710"/>
      <c r="AW23" s="686"/>
      <c r="AX23" s="686"/>
      <c r="AY23" s="686"/>
      <c r="AZ23" s="710"/>
      <c r="BA23" s="689"/>
      <c r="BB23" s="684"/>
      <c r="BC23" s="691"/>
      <c r="BD23" s="799"/>
      <c r="BE23" s="799"/>
      <c r="BF23" s="799"/>
      <c r="BG23" s="799"/>
      <c r="BH23" s="799"/>
      <c r="BI23" s="799"/>
      <c r="BJ23" s="795"/>
      <c r="BK23" s="851"/>
      <c r="BL23" s="852"/>
      <c r="BM23" s="802"/>
      <c r="BN23" s="886"/>
      <c r="BO23" s="886"/>
      <c r="BP23" s="886"/>
    </row>
    <row r="24" spans="1:68" s="772" customFormat="1" ht="63.75">
      <c r="A24" s="681"/>
      <c r="B24" s="692"/>
      <c r="C24" s="707"/>
      <c r="D24" s="679"/>
      <c r="E24" s="766"/>
      <c r="F24" s="693"/>
      <c r="G24" s="693"/>
      <c r="H24" s="693"/>
      <c r="I24" s="705" t="s">
        <v>541</v>
      </c>
      <c r="J24" s="693" t="s">
        <v>1070</v>
      </c>
      <c r="K24" s="692"/>
      <c r="L24" s="694"/>
      <c r="M24" s="694"/>
      <c r="N24" s="694"/>
      <c r="O24" s="688"/>
      <c r="P24" s="694"/>
      <c r="Q24" s="692"/>
      <c r="R24" s="692"/>
      <c r="S24" s="692"/>
      <c r="T24" s="686"/>
      <c r="U24" s="692"/>
      <c r="V24" s="789"/>
      <c r="W24" s="794"/>
      <c r="X24" s="719"/>
      <c r="Y24" s="696"/>
      <c r="Z24" s="696"/>
      <c r="AA24" s="696"/>
      <c r="AB24" s="696"/>
      <c r="AC24" s="774"/>
      <c r="AD24" s="678"/>
      <c r="AE24" s="719" t="s">
        <v>1088</v>
      </c>
      <c r="AF24" s="696"/>
      <c r="AG24" s="713"/>
      <c r="AH24" s="713"/>
      <c r="AI24" s="714"/>
      <c r="AJ24" s="710"/>
      <c r="AK24" s="710"/>
      <c r="AL24" s="710"/>
      <c r="AM24" s="710"/>
      <c r="AN24" s="710"/>
      <c r="AO24" s="710"/>
      <c r="AP24" s="710"/>
      <c r="AQ24" s="710"/>
      <c r="AR24" s="710"/>
      <c r="AS24" s="786"/>
      <c r="AT24" s="781"/>
      <c r="AU24" s="697"/>
      <c r="AV24" s="710"/>
      <c r="AW24" s="699"/>
      <c r="AX24" s="710"/>
      <c r="AY24" s="697"/>
      <c r="AZ24" s="710"/>
      <c r="BA24" s="698"/>
      <c r="BB24" s="695"/>
      <c r="BC24" s="700"/>
      <c r="BD24" s="800"/>
      <c r="BE24" s="800"/>
      <c r="BF24" s="800"/>
      <c r="BG24" s="800"/>
      <c r="BH24" s="800"/>
      <c r="BI24" s="800"/>
      <c r="BJ24" s="806"/>
      <c r="BK24" s="804"/>
      <c r="BL24" s="800"/>
      <c r="BM24" s="802"/>
      <c r="BN24" s="869"/>
      <c r="BO24" s="869"/>
      <c r="BP24" s="869"/>
    </row>
    <row r="25" spans="1:68" s="772" customFormat="1" ht="38.25">
      <c r="A25" s="681">
        <v>11</v>
      </c>
      <c r="B25" s="689" t="s">
        <v>211</v>
      </c>
      <c r="C25" s="707" t="s">
        <v>1089</v>
      </c>
      <c r="D25" s="679"/>
      <c r="E25" s="766"/>
      <c r="F25" s="709" t="s">
        <v>1997</v>
      </c>
      <c r="G25" s="709" t="s">
        <v>541</v>
      </c>
      <c r="H25" s="709" t="s">
        <v>541</v>
      </c>
      <c r="I25" s="682" t="s">
        <v>541</v>
      </c>
      <c r="J25" s="709">
        <v>50.942</v>
      </c>
      <c r="K25" s="689"/>
      <c r="L25" s="687"/>
      <c r="M25" s="710"/>
      <c r="N25" s="702"/>
      <c r="O25" s="689"/>
      <c r="P25" s="687"/>
      <c r="Q25" s="689"/>
      <c r="R25" s="689"/>
      <c r="S25" s="686"/>
      <c r="T25" s="686"/>
      <c r="U25" s="686"/>
      <c r="V25" s="789">
        <v>1000</v>
      </c>
      <c r="W25" s="674"/>
      <c r="X25" s="779">
        <v>6.7999999999999999E-5</v>
      </c>
      <c r="Y25" s="720">
        <v>2.0400000000000001E-3</v>
      </c>
      <c r="Z25" s="720">
        <v>2.0400000000000001E-3</v>
      </c>
      <c r="AA25" s="720"/>
      <c r="AB25" s="720"/>
      <c r="AC25" s="773"/>
      <c r="AD25" s="721"/>
      <c r="AE25" s="779"/>
      <c r="AF25" s="720"/>
      <c r="AG25" s="720"/>
      <c r="AH25" s="720"/>
      <c r="AI25" s="721"/>
      <c r="AJ25" s="710" t="s">
        <v>2513</v>
      </c>
      <c r="AK25" s="710" t="s">
        <v>2513</v>
      </c>
      <c r="AL25" s="710" t="s">
        <v>2513</v>
      </c>
      <c r="AM25" s="710" t="s">
        <v>2514</v>
      </c>
      <c r="AN25" s="710" t="s">
        <v>2514</v>
      </c>
      <c r="AO25" s="710" t="s">
        <v>2514</v>
      </c>
      <c r="AP25" s="710" t="s">
        <v>2514</v>
      </c>
      <c r="AQ25" s="710" t="s">
        <v>2514</v>
      </c>
      <c r="AR25" s="710" t="s">
        <v>2514</v>
      </c>
      <c r="AS25" s="786"/>
      <c r="AT25" s="781"/>
      <c r="AU25" s="686"/>
      <c r="AV25" s="710"/>
      <c r="AW25" s="686"/>
      <c r="AX25" s="710"/>
      <c r="AY25" s="686"/>
      <c r="AZ25" s="710"/>
      <c r="BA25" s="689"/>
      <c r="BB25" s="684"/>
      <c r="BC25" s="691">
        <v>1.4E-3</v>
      </c>
      <c r="BD25" s="691">
        <v>1.4E-3</v>
      </c>
      <c r="BE25" s="691">
        <v>1.4E-3</v>
      </c>
      <c r="BF25" s="799">
        <v>0</v>
      </c>
      <c r="BG25" s="691">
        <v>1.4E-3</v>
      </c>
      <c r="BH25" s="799">
        <v>6.2E-2</v>
      </c>
      <c r="BI25" s="799">
        <v>6.2E-2</v>
      </c>
      <c r="BJ25" s="795"/>
      <c r="BK25" s="803"/>
      <c r="BL25" s="799"/>
      <c r="BM25" s="802"/>
      <c r="BN25" s="882">
        <v>1E-3</v>
      </c>
      <c r="BO25" s="870">
        <v>0.25</v>
      </c>
      <c r="BP25" s="870">
        <v>1</v>
      </c>
    </row>
    <row r="26" spans="1:68" s="772" customFormat="1" ht="63.75">
      <c r="A26" s="681"/>
      <c r="B26" s="692"/>
      <c r="C26" s="707"/>
      <c r="D26" s="679"/>
      <c r="E26" s="766"/>
      <c r="F26" s="693"/>
      <c r="G26" s="693"/>
      <c r="H26" s="693"/>
      <c r="I26" s="705" t="s">
        <v>541</v>
      </c>
      <c r="J26" s="693" t="s">
        <v>1070</v>
      </c>
      <c r="K26" s="692"/>
      <c r="L26" s="694"/>
      <c r="M26" s="694"/>
      <c r="N26" s="694"/>
      <c r="O26" s="688"/>
      <c r="P26" s="694"/>
      <c r="Q26" s="692"/>
      <c r="R26" s="692"/>
      <c r="S26" s="692"/>
      <c r="T26" s="686"/>
      <c r="U26" s="692"/>
      <c r="V26" s="789" t="s">
        <v>1362</v>
      </c>
      <c r="W26" s="794"/>
      <c r="X26" s="719" t="s">
        <v>2511</v>
      </c>
      <c r="Y26" s="696" t="s">
        <v>2512</v>
      </c>
      <c r="Z26" s="696" t="s">
        <v>2512</v>
      </c>
      <c r="AA26" s="696"/>
      <c r="AB26" s="696"/>
      <c r="AC26" s="774"/>
      <c r="AD26" s="678"/>
      <c r="AE26" s="719"/>
      <c r="AF26" s="696"/>
      <c r="AG26" s="713"/>
      <c r="AH26" s="713"/>
      <c r="AI26" s="714"/>
      <c r="AJ26" s="710" t="s">
        <v>2515</v>
      </c>
      <c r="AK26" s="710" t="s">
        <v>2515</v>
      </c>
      <c r="AL26" s="710" t="s">
        <v>2515</v>
      </c>
      <c r="AM26" s="710" t="s">
        <v>2515</v>
      </c>
      <c r="AN26" s="710" t="s">
        <v>2515</v>
      </c>
      <c r="AO26" s="710" t="s">
        <v>2515</v>
      </c>
      <c r="AP26" s="710" t="s">
        <v>2515</v>
      </c>
      <c r="AQ26" s="710" t="s">
        <v>2515</v>
      </c>
      <c r="AR26" s="710" t="s">
        <v>2515</v>
      </c>
      <c r="AS26" s="786"/>
      <c r="AT26" s="781"/>
      <c r="AU26" s="697"/>
      <c r="AV26" s="710"/>
      <c r="AW26" s="699"/>
      <c r="AX26" s="710"/>
      <c r="AY26" s="697"/>
      <c r="AZ26" s="710"/>
      <c r="BA26" s="698"/>
      <c r="BB26" s="695"/>
      <c r="BC26" s="874" t="s">
        <v>2210</v>
      </c>
      <c r="BD26" s="870" t="s">
        <v>2160</v>
      </c>
      <c r="BE26" s="870" t="s">
        <v>2160</v>
      </c>
      <c r="BF26" s="800" t="s">
        <v>2516</v>
      </c>
      <c r="BG26" s="870" t="s">
        <v>2160</v>
      </c>
      <c r="BH26" s="874" t="s">
        <v>2210</v>
      </c>
      <c r="BI26" s="874" t="s">
        <v>2510</v>
      </c>
      <c r="BJ26" s="806"/>
      <c r="BK26" s="804"/>
      <c r="BL26" s="800"/>
      <c r="BM26" s="802"/>
      <c r="BN26" s="874" t="s">
        <v>2208</v>
      </c>
      <c r="BO26" s="874" t="s">
        <v>2208</v>
      </c>
      <c r="BP26" s="874" t="s">
        <v>2208</v>
      </c>
    </row>
    <row r="27" spans="1:68">
      <c r="A27" s="191">
        <v>12</v>
      </c>
      <c r="B27" s="191" t="s">
        <v>338</v>
      </c>
      <c r="C27" s="486" t="s">
        <v>1352</v>
      </c>
      <c r="D27" s="191"/>
      <c r="E27" s="728"/>
      <c r="F27" s="307"/>
      <c r="G27" s="307"/>
      <c r="H27" s="307"/>
      <c r="I27" s="307"/>
      <c r="J27" s="307">
        <v>98.97</v>
      </c>
      <c r="K27" s="301">
        <v>5500</v>
      </c>
      <c r="L27" s="307">
        <v>20</v>
      </c>
      <c r="M27" s="301">
        <v>9536.7412597558505</v>
      </c>
      <c r="N27" s="307">
        <v>10</v>
      </c>
      <c r="O27" s="301">
        <v>1.95E-2</v>
      </c>
      <c r="P27" s="307">
        <v>10</v>
      </c>
      <c r="Q27" s="307" t="s">
        <v>541</v>
      </c>
      <c r="R27" s="307"/>
      <c r="S27" s="307">
        <v>1.79</v>
      </c>
      <c r="T27" s="261">
        <f t="shared" ref="T27:T37" si="0">10^S27</f>
        <v>61.659500186148257</v>
      </c>
      <c r="U27" s="306">
        <f>GEOMEAN(1.6,1.66)</f>
        <v>1.6297239029970689</v>
      </c>
      <c r="V27" s="519">
        <f>10^U27</f>
        <v>42.630841267015811</v>
      </c>
      <c r="X27" s="510"/>
      <c r="Y27" s="307"/>
      <c r="Z27" s="307"/>
      <c r="AA27" s="307"/>
      <c r="AB27" s="307"/>
      <c r="AC27" s="498"/>
      <c r="AE27" s="510"/>
      <c r="AF27" s="307"/>
      <c r="AG27" s="302">
        <f>0.00001/0.0057</f>
        <v>1.7543859649122807E-3</v>
      </c>
      <c r="AH27" s="299">
        <f>0.00001/0.0016</f>
        <v>6.2500000000000003E-3</v>
      </c>
      <c r="AJ27" s="193"/>
      <c r="AK27" s="193"/>
      <c r="AL27" s="193"/>
      <c r="AM27" s="193"/>
      <c r="AN27" s="193"/>
      <c r="AO27" s="193"/>
      <c r="AP27" s="193"/>
      <c r="AQ27" s="193"/>
      <c r="AR27" s="193"/>
      <c r="AT27" s="526"/>
      <c r="AU27" s="193"/>
      <c r="AV27" s="193"/>
      <c r="AW27" s="193"/>
      <c r="AX27" s="193"/>
      <c r="AY27" s="193"/>
      <c r="AZ27" s="193"/>
      <c r="BA27" s="193"/>
      <c r="BC27" s="191"/>
      <c r="BD27" s="486"/>
      <c r="BE27" s="486"/>
      <c r="BF27" s="486"/>
      <c r="BG27" s="486"/>
      <c r="BH27" s="486"/>
      <c r="BI27" s="486"/>
      <c r="BK27" s="516"/>
      <c r="BL27" s="486"/>
      <c r="BN27" s="343"/>
      <c r="BO27" s="343"/>
      <c r="BP27" s="343"/>
    </row>
    <row r="28" spans="1:68" ht="78.75">
      <c r="A28" s="191"/>
      <c r="B28" s="191"/>
      <c r="C28" s="486"/>
      <c r="D28" s="191"/>
      <c r="E28" s="728"/>
      <c r="F28" s="307"/>
      <c r="G28" s="307"/>
      <c r="H28" s="307"/>
      <c r="I28" s="307"/>
      <c r="J28" s="307" t="s">
        <v>541</v>
      </c>
      <c r="K28" s="305" t="s">
        <v>1390</v>
      </c>
      <c r="L28" s="307"/>
      <c r="M28" s="304" t="s">
        <v>764</v>
      </c>
      <c r="N28" s="307"/>
      <c r="O28" s="272" t="s">
        <v>654</v>
      </c>
      <c r="P28" s="307"/>
      <c r="Q28" s="307"/>
      <c r="R28" s="307"/>
      <c r="S28" s="303" t="s">
        <v>681</v>
      </c>
      <c r="T28" s="307"/>
      <c r="U28" s="305" t="s">
        <v>1391</v>
      </c>
      <c r="V28" s="498"/>
      <c r="X28" s="510"/>
      <c r="Y28" s="307"/>
      <c r="Z28" s="307"/>
      <c r="AA28" s="307"/>
      <c r="AB28" s="307"/>
      <c r="AC28" s="498"/>
      <c r="AE28" s="510"/>
      <c r="AF28" s="307"/>
      <c r="AG28" s="305" t="s">
        <v>1392</v>
      </c>
      <c r="AH28" s="305" t="s">
        <v>1393</v>
      </c>
      <c r="AJ28" s="193"/>
      <c r="AK28" s="193"/>
      <c r="AL28" s="193"/>
      <c r="AM28" s="193"/>
      <c r="AN28" s="193"/>
      <c r="AO28" s="193"/>
      <c r="AP28" s="193"/>
      <c r="AQ28" s="193"/>
      <c r="AR28" s="193"/>
      <c r="AT28" s="526"/>
      <c r="AU28" s="193"/>
      <c r="AV28" s="193"/>
      <c r="AW28" s="193"/>
      <c r="AX28" s="193"/>
      <c r="AY28" s="193"/>
      <c r="AZ28" s="193"/>
      <c r="BA28" s="193"/>
      <c r="BC28" s="191"/>
      <c r="BD28" s="486"/>
      <c r="BE28" s="486"/>
      <c r="BF28" s="486"/>
      <c r="BG28" s="486"/>
      <c r="BH28" s="486"/>
      <c r="BI28" s="486"/>
      <c r="BK28" s="516"/>
      <c r="BL28" s="486"/>
      <c r="BN28" s="343"/>
      <c r="BO28" s="343"/>
      <c r="BP28" s="343"/>
    </row>
    <row r="29" spans="1:68" s="772" customFormat="1" ht="100.5" customHeight="1">
      <c r="A29" s="681" t="s">
        <v>330</v>
      </c>
      <c r="B29" s="689" t="s">
        <v>122</v>
      </c>
      <c r="C29" s="631" t="s">
        <v>1793</v>
      </c>
      <c r="D29" s="893" t="s">
        <v>1993</v>
      </c>
      <c r="E29" s="766"/>
      <c r="F29" s="709" t="s">
        <v>1996</v>
      </c>
      <c r="G29" s="709" t="s">
        <v>1997</v>
      </c>
      <c r="H29" s="709" t="s">
        <v>541</v>
      </c>
      <c r="I29" s="682" t="s">
        <v>541</v>
      </c>
      <c r="J29" s="709">
        <v>257.54300000000001</v>
      </c>
      <c r="K29" s="689">
        <v>0.27</v>
      </c>
      <c r="L29" s="687">
        <v>25</v>
      </c>
      <c r="M29" s="710">
        <f>0.000195*133.3224</f>
        <v>2.5997867999999997E-2</v>
      </c>
      <c r="N29" s="687">
        <v>25</v>
      </c>
      <c r="O29" s="689">
        <v>19.059999999999999</v>
      </c>
      <c r="P29" s="687">
        <v>10</v>
      </c>
      <c r="Q29" s="689">
        <v>1.9999999999999999E-7</v>
      </c>
      <c r="R29" s="689" t="s">
        <v>541</v>
      </c>
      <c r="S29" s="686">
        <v>5.62</v>
      </c>
      <c r="T29" s="686">
        <f t="shared" si="0"/>
        <v>416869.38347033598</v>
      </c>
      <c r="U29" s="686">
        <v>4.7564449818329004</v>
      </c>
      <c r="V29" s="790">
        <f t="shared" ref="V29:V37" si="1">10^U29</f>
        <v>57074.876684845731</v>
      </c>
      <c r="W29" s="674"/>
      <c r="X29" s="780">
        <v>5.0000000000000001E-4</v>
      </c>
      <c r="Y29" s="689">
        <v>1.0000000000000001E-5</v>
      </c>
      <c r="Z29" s="689">
        <v>1.0000000000000001E-5</v>
      </c>
      <c r="AA29" s="689" t="s">
        <v>2109</v>
      </c>
      <c r="AB29" s="689" t="s">
        <v>2111</v>
      </c>
      <c r="AC29" s="775" t="s">
        <v>2111</v>
      </c>
      <c r="AD29" s="690"/>
      <c r="AE29" s="780"/>
      <c r="AF29" s="689"/>
      <c r="AG29" s="689"/>
      <c r="AH29" s="689"/>
      <c r="AI29" s="690"/>
      <c r="AJ29" s="894">
        <v>0.68613075049281613</v>
      </c>
      <c r="AK29" s="894">
        <v>3.5489521577214633</v>
      </c>
      <c r="AL29" s="894">
        <v>3.5489521577214633</v>
      </c>
      <c r="AM29" s="686">
        <v>1.5142195872944899</v>
      </c>
      <c r="AN29" s="895">
        <v>14.1958086308859</v>
      </c>
      <c r="AO29" s="895">
        <v>14.1958086308859</v>
      </c>
      <c r="AP29" s="686">
        <v>1.5142195872944899</v>
      </c>
      <c r="AQ29" s="895">
        <v>14.1958086308859</v>
      </c>
      <c r="AR29" s="686">
        <v>1.5142195872944899</v>
      </c>
      <c r="AS29" s="787"/>
      <c r="AT29" s="712"/>
      <c r="AU29" s="711"/>
      <c r="AV29" s="711"/>
      <c r="AW29" s="686"/>
      <c r="AX29" s="679"/>
      <c r="AY29" s="686"/>
      <c r="AZ29" s="679"/>
      <c r="BA29" s="689"/>
      <c r="BB29" s="684"/>
      <c r="BC29" s="691"/>
      <c r="BD29" s="799"/>
      <c r="BE29" s="799"/>
      <c r="BF29" s="799"/>
      <c r="BG29" s="799"/>
      <c r="BH29" s="799">
        <v>0</v>
      </c>
      <c r="BI29" s="799">
        <v>0</v>
      </c>
      <c r="BJ29" s="795"/>
      <c r="BK29" s="803"/>
      <c r="BL29" s="799"/>
      <c r="BM29" s="802"/>
      <c r="BN29" s="873"/>
      <c r="BO29" s="873">
        <v>0.14000000000000001</v>
      </c>
      <c r="BP29" s="873">
        <v>0.8</v>
      </c>
    </row>
    <row r="30" spans="1:68" s="772" customFormat="1" ht="97.5" customHeight="1">
      <c r="A30" s="681"/>
      <c r="B30" s="692"/>
      <c r="C30" s="896"/>
      <c r="D30" s="681"/>
      <c r="E30" s="971"/>
      <c r="F30" s="693"/>
      <c r="G30" s="693"/>
      <c r="H30" s="693"/>
      <c r="I30" s="705" t="s">
        <v>541</v>
      </c>
      <c r="J30" s="693" t="s">
        <v>2007</v>
      </c>
      <c r="K30" s="692" t="s">
        <v>2008</v>
      </c>
      <c r="L30" s="694" t="s">
        <v>2009</v>
      </c>
      <c r="M30" s="694" t="s">
        <v>2008</v>
      </c>
      <c r="N30" s="694" t="s">
        <v>2009</v>
      </c>
      <c r="O30" s="688" t="s">
        <v>2010</v>
      </c>
      <c r="P30" s="694" t="s">
        <v>2011</v>
      </c>
      <c r="Q30" s="692" t="s">
        <v>2012</v>
      </c>
      <c r="R30" s="692"/>
      <c r="S30" s="692" t="s">
        <v>2013</v>
      </c>
      <c r="T30" s="686"/>
      <c r="U30" s="692" t="s">
        <v>2014</v>
      </c>
      <c r="V30" s="790"/>
      <c r="W30" s="794"/>
      <c r="X30" s="719" t="s">
        <v>2107</v>
      </c>
      <c r="Y30" s="870" t="s">
        <v>2108</v>
      </c>
      <c r="Z30" s="696" t="s">
        <v>2108</v>
      </c>
      <c r="AA30" s="696" t="s">
        <v>2110</v>
      </c>
      <c r="AB30" s="696" t="s">
        <v>2112</v>
      </c>
      <c r="AC30" s="774" t="s">
        <v>2112</v>
      </c>
      <c r="AD30" s="678"/>
      <c r="AE30" s="719"/>
      <c r="AF30" s="698"/>
      <c r="AG30" s="692"/>
      <c r="AH30" s="692"/>
      <c r="AI30" s="695"/>
      <c r="AJ30" s="897" t="s">
        <v>2173</v>
      </c>
      <c r="AK30" s="699" t="s">
        <v>2174</v>
      </c>
      <c r="AL30" s="698" t="s">
        <v>2174</v>
      </c>
      <c r="AM30" s="699" t="s">
        <v>2175</v>
      </c>
      <c r="AN30" s="698" t="s">
        <v>2176</v>
      </c>
      <c r="AO30" s="698" t="s">
        <v>2176</v>
      </c>
      <c r="AP30" s="898" t="s">
        <v>2175</v>
      </c>
      <c r="AQ30" s="698" t="s">
        <v>2176</v>
      </c>
      <c r="AR30" s="898" t="s">
        <v>2175</v>
      </c>
      <c r="AS30" s="788"/>
      <c r="AT30" s="686"/>
      <c r="AU30" s="697"/>
      <c r="AV30" s="698"/>
      <c r="AW30" s="699"/>
      <c r="AX30" s="698"/>
      <c r="AY30" s="697"/>
      <c r="AZ30" s="698"/>
      <c r="BA30" s="698"/>
      <c r="BB30" s="724"/>
      <c r="BC30" s="871" t="s">
        <v>2141</v>
      </c>
      <c r="BD30" s="871" t="s">
        <v>2141</v>
      </c>
      <c r="BE30" s="871" t="s">
        <v>2141</v>
      </c>
      <c r="BF30" s="871" t="s">
        <v>2141</v>
      </c>
      <c r="BG30" s="871" t="s">
        <v>2141</v>
      </c>
      <c r="BH30" s="872" t="s">
        <v>2158</v>
      </c>
      <c r="BI30" s="872" t="s">
        <v>2158</v>
      </c>
      <c r="BJ30" s="806"/>
      <c r="BK30" s="804"/>
      <c r="BL30" s="800"/>
      <c r="BM30" s="802"/>
      <c r="BN30" s="873" t="s">
        <v>2141</v>
      </c>
      <c r="BO30" s="873" t="s">
        <v>2142</v>
      </c>
      <c r="BP30" s="873" t="s">
        <v>2144</v>
      </c>
    </row>
    <row r="31" spans="1:68" s="772" customFormat="1" ht="30">
      <c r="A31" s="681" t="s">
        <v>331</v>
      </c>
      <c r="B31" s="689" t="s">
        <v>125</v>
      </c>
      <c r="C31" s="631" t="s">
        <v>1794</v>
      </c>
      <c r="D31" s="753" t="s">
        <v>2016</v>
      </c>
      <c r="E31" s="766"/>
      <c r="F31" s="709" t="s">
        <v>1996</v>
      </c>
      <c r="G31" s="709" t="s">
        <v>1997</v>
      </c>
      <c r="H31" s="709" t="s">
        <v>541</v>
      </c>
      <c r="I31" s="682" t="s">
        <v>541</v>
      </c>
      <c r="J31" s="709">
        <v>291.988</v>
      </c>
      <c r="K31" s="689">
        <v>1.5299999999999999E-2</v>
      </c>
      <c r="L31" s="687">
        <v>25</v>
      </c>
      <c r="M31" s="710">
        <f>0.00000845*133.3224</f>
        <v>1.1265742799999999E-3</v>
      </c>
      <c r="N31" s="687">
        <v>25</v>
      </c>
      <c r="O31" s="689">
        <v>16.13</v>
      </c>
      <c r="P31" s="687">
        <v>10</v>
      </c>
      <c r="Q31" s="689">
        <v>1.9999999999999999E-7</v>
      </c>
      <c r="R31" s="689" t="s">
        <v>541</v>
      </c>
      <c r="S31" s="686">
        <v>6.09</v>
      </c>
      <c r="T31" s="686">
        <f t="shared" si="0"/>
        <v>1230268.770812382</v>
      </c>
      <c r="U31" s="686">
        <v>5.25</v>
      </c>
      <c r="V31" s="790">
        <f t="shared" si="1"/>
        <v>177827.94100389251</v>
      </c>
      <c r="W31" s="674"/>
      <c r="X31" s="780">
        <v>5.0000000000000001E-4</v>
      </c>
      <c r="Y31" s="870">
        <v>1.0000000000000001E-5</v>
      </c>
      <c r="Z31" s="689">
        <v>1.0000000000000001E-5</v>
      </c>
      <c r="AA31" s="689" t="s">
        <v>2109</v>
      </c>
      <c r="AB31" s="689" t="s">
        <v>2111</v>
      </c>
      <c r="AC31" s="775" t="s">
        <v>2111</v>
      </c>
      <c r="AD31" s="690"/>
      <c r="AE31" s="780"/>
      <c r="AF31" s="689"/>
      <c r="AG31" s="689"/>
      <c r="AH31" s="689"/>
      <c r="AI31" s="690"/>
      <c r="AJ31" s="894">
        <v>0.68613075049281613</v>
      </c>
      <c r="AK31" s="894">
        <v>3.5489521577214633</v>
      </c>
      <c r="AL31" s="894">
        <v>3.5489521577214633</v>
      </c>
      <c r="AM31" s="686">
        <v>1.5142195872944899</v>
      </c>
      <c r="AN31" s="895">
        <v>14.1958086308859</v>
      </c>
      <c r="AO31" s="895">
        <v>14.1958086308859</v>
      </c>
      <c r="AP31" s="686">
        <v>1.5142195872944899</v>
      </c>
      <c r="AQ31" s="895">
        <v>14.1958086308859</v>
      </c>
      <c r="AR31" s="686">
        <v>1.5142195872944899</v>
      </c>
      <c r="AS31" s="787"/>
      <c r="AT31" s="712"/>
      <c r="AU31" s="686"/>
      <c r="AV31" s="679"/>
      <c r="AW31" s="686"/>
      <c r="AX31" s="679"/>
      <c r="AY31" s="686"/>
      <c r="AZ31" s="679"/>
      <c r="BA31" s="689"/>
      <c r="BB31" s="684"/>
      <c r="BC31" s="691"/>
      <c r="BD31" s="799"/>
      <c r="BE31" s="799"/>
      <c r="BF31" s="799"/>
      <c r="BG31" s="799"/>
      <c r="BH31" s="799">
        <v>0</v>
      </c>
      <c r="BI31" s="799">
        <v>0</v>
      </c>
      <c r="BJ31" s="795"/>
      <c r="BK31" s="803"/>
      <c r="BL31" s="799"/>
      <c r="BM31" s="802"/>
      <c r="BN31" s="873"/>
      <c r="BO31" s="873">
        <v>0.14000000000000001</v>
      </c>
      <c r="BP31" s="873">
        <v>0.5</v>
      </c>
    </row>
    <row r="32" spans="1:68" s="772" customFormat="1" ht="89.25">
      <c r="A32" s="681"/>
      <c r="B32" s="692"/>
      <c r="C32" s="896"/>
      <c r="D32" s="681"/>
      <c r="E32" s="971"/>
      <c r="F32" s="693"/>
      <c r="G32" s="693"/>
      <c r="H32" s="693"/>
      <c r="I32" s="705"/>
      <c r="J32" s="693" t="s">
        <v>2007</v>
      </c>
      <c r="K32" s="692" t="s">
        <v>2008</v>
      </c>
      <c r="L32" s="871" t="s">
        <v>2009</v>
      </c>
      <c r="M32" s="694" t="s">
        <v>2019</v>
      </c>
      <c r="N32" s="694" t="s">
        <v>2009</v>
      </c>
      <c r="O32" s="688" t="s">
        <v>2025</v>
      </c>
      <c r="P32" s="694" t="s">
        <v>2011</v>
      </c>
      <c r="Q32" s="692" t="s">
        <v>2012</v>
      </c>
      <c r="R32" s="692"/>
      <c r="S32" s="692" t="s">
        <v>2013</v>
      </c>
      <c r="T32" s="686"/>
      <c r="U32" s="692" t="s">
        <v>2017</v>
      </c>
      <c r="V32" s="790"/>
      <c r="W32" s="794"/>
      <c r="X32" s="719" t="s">
        <v>2107</v>
      </c>
      <c r="Y32" s="870" t="s">
        <v>2108</v>
      </c>
      <c r="Z32" s="696" t="s">
        <v>2108</v>
      </c>
      <c r="AA32" s="696" t="s">
        <v>2110</v>
      </c>
      <c r="AB32" s="696" t="s">
        <v>2112</v>
      </c>
      <c r="AC32" s="774" t="s">
        <v>2112</v>
      </c>
      <c r="AD32" s="678"/>
      <c r="AE32" s="719"/>
      <c r="AF32" s="698"/>
      <c r="AG32" s="692"/>
      <c r="AH32" s="692"/>
      <c r="AI32" s="695"/>
      <c r="AJ32" s="897" t="s">
        <v>2173</v>
      </c>
      <c r="AK32" s="699" t="s">
        <v>2174</v>
      </c>
      <c r="AL32" s="698" t="s">
        <v>2174</v>
      </c>
      <c r="AM32" s="699" t="s">
        <v>2175</v>
      </c>
      <c r="AN32" s="698" t="s">
        <v>2176</v>
      </c>
      <c r="AO32" s="698" t="s">
        <v>2176</v>
      </c>
      <c r="AP32" s="898" t="s">
        <v>2175</v>
      </c>
      <c r="AQ32" s="698" t="s">
        <v>2176</v>
      </c>
      <c r="AR32" s="898" t="s">
        <v>2175</v>
      </c>
      <c r="AS32" s="788"/>
      <c r="AT32" s="711"/>
      <c r="AU32" s="697"/>
      <c r="AV32" s="698"/>
      <c r="AW32" s="699"/>
      <c r="AX32" s="698"/>
      <c r="AY32" s="697"/>
      <c r="AZ32" s="698"/>
      <c r="BA32" s="698"/>
      <c r="BB32" s="724"/>
      <c r="BC32" s="871" t="s">
        <v>2141</v>
      </c>
      <c r="BD32" s="871" t="s">
        <v>2141</v>
      </c>
      <c r="BE32" s="871" t="s">
        <v>2141</v>
      </c>
      <c r="BF32" s="871" t="s">
        <v>2141</v>
      </c>
      <c r="BG32" s="871" t="s">
        <v>2141</v>
      </c>
      <c r="BH32" s="872" t="s">
        <v>2158</v>
      </c>
      <c r="BI32" s="872" t="s">
        <v>2158</v>
      </c>
      <c r="BJ32" s="806"/>
      <c r="BK32" s="804"/>
      <c r="BL32" s="800"/>
      <c r="BM32" s="802"/>
      <c r="BN32" s="873" t="s">
        <v>2141</v>
      </c>
      <c r="BO32" s="873" t="s">
        <v>2142</v>
      </c>
      <c r="BP32" s="873" t="s">
        <v>2144</v>
      </c>
    </row>
    <row r="33" spans="1:68" s="772" customFormat="1" ht="38.25">
      <c r="A33" s="681" t="s">
        <v>332</v>
      </c>
      <c r="B33" s="689" t="s">
        <v>127</v>
      </c>
      <c r="C33" s="631" t="s">
        <v>1795</v>
      </c>
      <c r="D33" s="768" t="s">
        <v>2456</v>
      </c>
      <c r="E33" s="766"/>
      <c r="F33" s="709" t="s">
        <v>1996</v>
      </c>
      <c r="G33" s="709" t="s">
        <v>1997</v>
      </c>
      <c r="H33" s="709" t="s">
        <v>541</v>
      </c>
      <c r="I33" s="682" t="s">
        <v>541</v>
      </c>
      <c r="J33" s="871">
        <v>326.43299999999999</v>
      </c>
      <c r="K33" s="871">
        <v>4.2399999999999998E-3</v>
      </c>
      <c r="L33" s="871">
        <v>16.5</v>
      </c>
      <c r="M33" s="871">
        <v>1.09E-3</v>
      </c>
      <c r="N33" s="870">
        <v>25</v>
      </c>
      <c r="O33" s="871">
        <v>22.2</v>
      </c>
      <c r="P33" s="871">
        <v>11</v>
      </c>
      <c r="Q33" s="689">
        <v>1.9999999999999999E-7</v>
      </c>
      <c r="R33" s="689" t="s">
        <v>541</v>
      </c>
      <c r="S33" s="686">
        <v>6.34</v>
      </c>
      <c r="T33" s="686">
        <f t="shared" si="0"/>
        <v>2187761.6239495561</v>
      </c>
      <c r="U33" s="686">
        <v>5.1350376875234307</v>
      </c>
      <c r="V33" s="790">
        <f>10^U33</f>
        <v>136470.155851819</v>
      </c>
      <c r="W33" s="674"/>
      <c r="X33" s="780">
        <v>5.0000000000000001E-4</v>
      </c>
      <c r="Y33" s="870">
        <v>1.0000000000000001E-5</v>
      </c>
      <c r="Z33" s="689">
        <v>1.0000000000000001E-5</v>
      </c>
      <c r="AA33" s="689" t="s">
        <v>2109</v>
      </c>
      <c r="AB33" s="689" t="s">
        <v>2111</v>
      </c>
      <c r="AC33" s="775" t="s">
        <v>2111</v>
      </c>
      <c r="AD33" s="690"/>
      <c r="AE33" s="780"/>
      <c r="AF33" s="689"/>
      <c r="AG33" s="689"/>
      <c r="AH33" s="689"/>
      <c r="AI33" s="690"/>
      <c r="AJ33" s="679">
        <v>1.8360000000000001E-2</v>
      </c>
      <c r="AK33" s="679">
        <v>0.64270000000000005</v>
      </c>
      <c r="AL33" s="679">
        <v>0.64270000000000005</v>
      </c>
      <c r="AM33" s="679">
        <v>0.42230000000000001</v>
      </c>
      <c r="AN33" s="679">
        <v>2.7542</v>
      </c>
      <c r="AO33" s="679">
        <v>2.7542</v>
      </c>
      <c r="AP33" s="679">
        <v>0.42230000000000001</v>
      </c>
      <c r="AQ33" s="679">
        <v>2.7542</v>
      </c>
      <c r="AR33" s="679">
        <v>0.42230000000000001</v>
      </c>
      <c r="AS33" s="787"/>
      <c r="AT33" s="712"/>
      <c r="AU33" s="686"/>
      <c r="AV33" s="679"/>
      <c r="AW33" s="686"/>
      <c r="AX33" s="679"/>
      <c r="AY33" s="686"/>
      <c r="AZ33" s="679"/>
      <c r="BA33" s="689"/>
      <c r="BB33" s="684"/>
      <c r="BC33" s="691"/>
      <c r="BD33" s="799"/>
      <c r="BE33" s="799"/>
      <c r="BF33" s="799"/>
      <c r="BG33" s="799"/>
      <c r="BH33" s="799">
        <v>0</v>
      </c>
      <c r="BI33" s="799">
        <v>0</v>
      </c>
      <c r="BJ33" s="795"/>
      <c r="BK33" s="803"/>
      <c r="BL33" s="799"/>
      <c r="BM33" s="802"/>
      <c r="BN33" s="873"/>
      <c r="BO33" s="873">
        <v>0.14000000000000001</v>
      </c>
      <c r="BP33" s="873">
        <v>0.2</v>
      </c>
    </row>
    <row r="34" spans="1:68" s="772" customFormat="1" ht="89.25">
      <c r="A34" s="681"/>
      <c r="B34" s="692"/>
      <c r="C34" s="896"/>
      <c r="D34" s="681"/>
      <c r="E34" s="971"/>
      <c r="F34" s="693"/>
      <c r="G34" s="693"/>
      <c r="H34" s="693"/>
      <c r="I34" s="705"/>
      <c r="J34" s="871" t="s">
        <v>2011</v>
      </c>
      <c r="K34" s="871" t="s">
        <v>2024</v>
      </c>
      <c r="L34" s="871" t="s">
        <v>2011</v>
      </c>
      <c r="M34" s="870" t="s">
        <v>2461</v>
      </c>
      <c r="N34" s="694" t="s">
        <v>2011</v>
      </c>
      <c r="O34" s="871" t="s">
        <v>2024</v>
      </c>
      <c r="P34" s="694" t="s">
        <v>2011</v>
      </c>
      <c r="Q34" s="692" t="s">
        <v>2012</v>
      </c>
      <c r="R34" s="692"/>
      <c r="S34" s="692" t="s">
        <v>2018</v>
      </c>
      <c r="T34" s="686"/>
      <c r="U34" s="692" t="s">
        <v>2020</v>
      </c>
      <c r="V34" s="790"/>
      <c r="W34" s="794"/>
      <c r="X34" s="719" t="s">
        <v>2107</v>
      </c>
      <c r="Y34" s="870" t="s">
        <v>2108</v>
      </c>
      <c r="Z34" s="696" t="s">
        <v>2108</v>
      </c>
      <c r="AA34" s="696" t="s">
        <v>2110</v>
      </c>
      <c r="AB34" s="696" t="s">
        <v>2112</v>
      </c>
      <c r="AC34" s="774" t="s">
        <v>2112</v>
      </c>
      <c r="AD34" s="678"/>
      <c r="AE34" s="719"/>
      <c r="AF34" s="698"/>
      <c r="AG34" s="692"/>
      <c r="AH34" s="692"/>
      <c r="AI34" s="695"/>
      <c r="AJ34" s="698" t="s">
        <v>2177</v>
      </c>
      <c r="AK34" s="698" t="s">
        <v>2178</v>
      </c>
      <c r="AL34" s="698" t="s">
        <v>2178</v>
      </c>
      <c r="AM34" s="698" t="s">
        <v>2179</v>
      </c>
      <c r="AN34" s="698" t="s">
        <v>2180</v>
      </c>
      <c r="AO34" s="698" t="s">
        <v>2180</v>
      </c>
      <c r="AP34" s="698" t="s">
        <v>2179</v>
      </c>
      <c r="AQ34" s="698" t="s">
        <v>2180</v>
      </c>
      <c r="AR34" s="698" t="s">
        <v>2179</v>
      </c>
      <c r="AS34" s="788"/>
      <c r="AT34" s="711"/>
      <c r="AU34" s="697"/>
      <c r="AV34" s="698"/>
      <c r="AW34" s="699"/>
      <c r="AX34" s="698"/>
      <c r="AY34" s="697"/>
      <c r="AZ34" s="698"/>
      <c r="BA34" s="698"/>
      <c r="BB34" s="724"/>
      <c r="BC34" s="871" t="s">
        <v>2141</v>
      </c>
      <c r="BD34" s="871" t="s">
        <v>2141</v>
      </c>
      <c r="BE34" s="871" t="s">
        <v>2141</v>
      </c>
      <c r="BF34" s="871" t="s">
        <v>2141</v>
      </c>
      <c r="BG34" s="871" t="s">
        <v>2141</v>
      </c>
      <c r="BH34" s="872" t="s">
        <v>2158</v>
      </c>
      <c r="BI34" s="872" t="s">
        <v>2158</v>
      </c>
      <c r="BJ34" s="806"/>
      <c r="BK34" s="804"/>
      <c r="BL34" s="800"/>
      <c r="BM34" s="802"/>
      <c r="BN34" s="873" t="s">
        <v>2141</v>
      </c>
      <c r="BO34" s="873" t="s">
        <v>2142</v>
      </c>
      <c r="BP34" s="873" t="s">
        <v>2144</v>
      </c>
    </row>
    <row r="35" spans="1:68" s="772" customFormat="1" ht="30">
      <c r="A35" s="681" t="s">
        <v>333</v>
      </c>
      <c r="B35" s="689" t="s">
        <v>129</v>
      </c>
      <c r="C35" s="631" t="s">
        <v>1795</v>
      </c>
      <c r="D35" s="753" t="s">
        <v>2457</v>
      </c>
      <c r="E35" s="766"/>
      <c r="F35" s="709" t="s">
        <v>1996</v>
      </c>
      <c r="G35" s="709" t="s">
        <v>1997</v>
      </c>
      <c r="H35" s="709" t="s">
        <v>541</v>
      </c>
      <c r="I35" s="682" t="s">
        <v>541</v>
      </c>
      <c r="J35" s="871">
        <v>326.43299999999999</v>
      </c>
      <c r="K35" s="871">
        <v>1.34E-2</v>
      </c>
      <c r="L35" s="871">
        <v>20</v>
      </c>
      <c r="M35" s="899">
        <v>1.1964352175999999E-3</v>
      </c>
      <c r="N35" s="871">
        <v>25</v>
      </c>
      <c r="O35" s="871">
        <v>12.81</v>
      </c>
      <c r="P35" s="870">
        <v>11</v>
      </c>
      <c r="Q35" s="689">
        <v>1.9999999999999999E-7</v>
      </c>
      <c r="R35" s="689" t="s">
        <v>541</v>
      </c>
      <c r="S35" s="686">
        <v>7.12</v>
      </c>
      <c r="T35" s="686">
        <f t="shared" si="0"/>
        <v>13182567.385564111</v>
      </c>
      <c r="U35" s="686">
        <v>5.9106945548769998</v>
      </c>
      <c r="V35" s="790">
        <f t="shared" si="1"/>
        <v>814131.49304087763</v>
      </c>
      <c r="W35" s="674"/>
      <c r="X35" s="780">
        <v>5.0000000000000001E-4</v>
      </c>
      <c r="Y35" s="870">
        <v>1.0000000000000001E-5</v>
      </c>
      <c r="Z35" s="689">
        <v>1.0000000000000001E-5</v>
      </c>
      <c r="AA35" s="689" t="s">
        <v>2109</v>
      </c>
      <c r="AB35" s="689" t="s">
        <v>2111</v>
      </c>
      <c r="AC35" s="775" t="s">
        <v>2111</v>
      </c>
      <c r="AD35" s="690"/>
      <c r="AE35" s="780"/>
      <c r="AF35" s="689"/>
      <c r="AG35" s="689"/>
      <c r="AH35" s="689"/>
      <c r="AI35" s="690"/>
      <c r="AJ35" s="679">
        <v>1.8360000000000001E-2</v>
      </c>
      <c r="AK35" s="679">
        <v>0.64270000000000005</v>
      </c>
      <c r="AL35" s="679">
        <v>0.64270000000000005</v>
      </c>
      <c r="AM35" s="679">
        <v>0.42230000000000001</v>
      </c>
      <c r="AN35" s="679">
        <v>2.7542</v>
      </c>
      <c r="AO35" s="679">
        <v>2.7542</v>
      </c>
      <c r="AP35" s="679">
        <v>0.42230000000000001</v>
      </c>
      <c r="AQ35" s="679">
        <v>2.7542</v>
      </c>
      <c r="AR35" s="679">
        <v>0.42230000000000001</v>
      </c>
      <c r="AS35" s="787"/>
      <c r="AT35" s="712"/>
      <c r="AU35" s="686"/>
      <c r="AV35" s="679"/>
      <c r="AW35" s="686"/>
      <c r="AX35" s="679"/>
      <c r="AY35" s="686"/>
      <c r="AZ35" s="679"/>
      <c r="BA35" s="689"/>
      <c r="BB35" s="684"/>
      <c r="BC35" s="691"/>
      <c r="BD35" s="799"/>
      <c r="BE35" s="799"/>
      <c r="BF35" s="799"/>
      <c r="BG35" s="799"/>
      <c r="BH35" s="799">
        <v>0</v>
      </c>
      <c r="BI35" s="799">
        <v>0</v>
      </c>
      <c r="BJ35" s="795"/>
      <c r="BK35" s="803"/>
      <c r="BL35" s="799"/>
      <c r="BM35" s="802"/>
      <c r="BN35" s="873"/>
      <c r="BO35" s="873">
        <v>0.14000000000000001</v>
      </c>
      <c r="BP35" s="873">
        <v>1</v>
      </c>
    </row>
    <row r="36" spans="1:68" s="772" customFormat="1" ht="89.25">
      <c r="A36" s="681"/>
      <c r="B36" s="692"/>
      <c r="C36" s="896"/>
      <c r="D36" s="681"/>
      <c r="E36" s="971"/>
      <c r="F36" s="693"/>
      <c r="G36" s="693"/>
      <c r="H36" s="693"/>
      <c r="I36" s="705"/>
      <c r="J36" s="871" t="s">
        <v>2007</v>
      </c>
      <c r="K36" s="871" t="s">
        <v>2008</v>
      </c>
      <c r="L36" s="871" t="s">
        <v>2009</v>
      </c>
      <c r="M36" s="871" t="s">
        <v>2008</v>
      </c>
      <c r="N36" s="694" t="s">
        <v>2009</v>
      </c>
      <c r="O36" s="870" t="s">
        <v>2026</v>
      </c>
      <c r="P36" s="870" t="s">
        <v>2011</v>
      </c>
      <c r="Q36" s="692" t="s">
        <v>2012</v>
      </c>
      <c r="R36" s="692"/>
      <c r="S36" s="692" t="s">
        <v>2008</v>
      </c>
      <c r="T36" s="686"/>
      <c r="U36" s="692" t="s">
        <v>2021</v>
      </c>
      <c r="V36" s="790"/>
      <c r="W36" s="794"/>
      <c r="X36" s="719" t="s">
        <v>2107</v>
      </c>
      <c r="Y36" s="696" t="s">
        <v>2108</v>
      </c>
      <c r="Z36" s="696" t="s">
        <v>2108</v>
      </c>
      <c r="AA36" s="696" t="s">
        <v>2110</v>
      </c>
      <c r="AB36" s="696" t="s">
        <v>2112</v>
      </c>
      <c r="AC36" s="774" t="s">
        <v>2112</v>
      </c>
      <c r="AD36" s="678"/>
      <c r="AE36" s="719"/>
      <c r="AF36" s="698"/>
      <c r="AG36" s="692"/>
      <c r="AH36" s="692"/>
      <c r="AI36" s="695"/>
      <c r="AJ36" s="698" t="s">
        <v>2177</v>
      </c>
      <c r="AK36" s="698" t="s">
        <v>2178</v>
      </c>
      <c r="AL36" s="698" t="s">
        <v>2178</v>
      </c>
      <c r="AM36" s="698" t="s">
        <v>2179</v>
      </c>
      <c r="AN36" s="698" t="s">
        <v>2180</v>
      </c>
      <c r="AO36" s="698" t="s">
        <v>2180</v>
      </c>
      <c r="AP36" s="698" t="s">
        <v>2179</v>
      </c>
      <c r="AQ36" s="698" t="s">
        <v>2180</v>
      </c>
      <c r="AR36" s="698" t="s">
        <v>2179</v>
      </c>
      <c r="AS36" s="788"/>
      <c r="AT36" s="711"/>
      <c r="AU36" s="697"/>
      <c r="AV36" s="698"/>
      <c r="AW36" s="699"/>
      <c r="AX36" s="698"/>
      <c r="AY36" s="697"/>
      <c r="AZ36" s="698"/>
      <c r="BA36" s="698"/>
      <c r="BB36" s="724"/>
      <c r="BC36" s="871" t="s">
        <v>2141</v>
      </c>
      <c r="BD36" s="871" t="s">
        <v>2141</v>
      </c>
      <c r="BE36" s="871" t="s">
        <v>2141</v>
      </c>
      <c r="BF36" s="871" t="s">
        <v>2141</v>
      </c>
      <c r="BG36" s="871" t="s">
        <v>2141</v>
      </c>
      <c r="BH36" s="872" t="s">
        <v>2158</v>
      </c>
      <c r="BI36" s="872" t="s">
        <v>2158</v>
      </c>
      <c r="BJ36" s="806"/>
      <c r="BK36" s="804"/>
      <c r="BL36" s="800"/>
      <c r="BM36" s="802"/>
      <c r="BN36" s="873" t="s">
        <v>2141</v>
      </c>
      <c r="BO36" s="873" t="s">
        <v>2142</v>
      </c>
      <c r="BP36" s="873" t="s">
        <v>2143</v>
      </c>
    </row>
    <row r="37" spans="1:68" s="772" customFormat="1" ht="45">
      <c r="A37" s="681" t="s">
        <v>334</v>
      </c>
      <c r="B37" s="689" t="s">
        <v>131</v>
      </c>
      <c r="C37" s="631" t="s">
        <v>1796</v>
      </c>
      <c r="D37" s="753" t="s">
        <v>2458</v>
      </c>
      <c r="E37" s="766"/>
      <c r="F37" s="709" t="s">
        <v>1996</v>
      </c>
      <c r="G37" s="709" t="s">
        <v>1997</v>
      </c>
      <c r="H37" s="709" t="s">
        <v>541</v>
      </c>
      <c r="I37" s="682" t="s">
        <v>541</v>
      </c>
      <c r="J37" s="871">
        <v>360.87799999999999</v>
      </c>
      <c r="K37" s="871">
        <v>1.5E-3</v>
      </c>
      <c r="L37" s="871">
        <v>20</v>
      </c>
      <c r="M37" s="899">
        <v>5.0595850799999996E-4</v>
      </c>
      <c r="N37" s="727">
        <v>25</v>
      </c>
      <c r="O37" s="871">
        <v>7.5</v>
      </c>
      <c r="P37" s="870">
        <v>11</v>
      </c>
      <c r="Q37" s="689">
        <v>4.9999999999999998E-7</v>
      </c>
      <c r="R37" s="689" t="s">
        <v>541</v>
      </c>
      <c r="S37" s="686">
        <v>7.44</v>
      </c>
      <c r="T37" s="686">
        <f t="shared" si="0"/>
        <v>27542287.03338176</v>
      </c>
      <c r="U37" s="686">
        <v>6.4356849104480798</v>
      </c>
      <c r="V37" s="790">
        <f t="shared" si="1"/>
        <v>2726998.5715343556</v>
      </c>
      <c r="W37" s="674"/>
      <c r="X37" s="780">
        <v>5.0000000000000001E-4</v>
      </c>
      <c r="Y37" s="689">
        <v>1.0000000000000001E-5</v>
      </c>
      <c r="Z37" s="689">
        <v>1.0000000000000001E-5</v>
      </c>
      <c r="AA37" s="689" t="s">
        <v>2109</v>
      </c>
      <c r="AB37" s="689" t="s">
        <v>2111</v>
      </c>
      <c r="AC37" s="775" t="s">
        <v>2111</v>
      </c>
      <c r="AD37" s="690"/>
      <c r="AE37" s="780"/>
      <c r="AF37" s="689"/>
      <c r="AG37" s="689"/>
      <c r="AH37" s="689"/>
      <c r="AI37" s="690"/>
      <c r="AJ37" s="679">
        <v>6.2274000000000003</v>
      </c>
      <c r="AK37" s="679">
        <v>13.92</v>
      </c>
      <c r="AL37" s="679">
        <v>13.92</v>
      </c>
      <c r="AM37" s="679">
        <v>5.4946999999999999</v>
      </c>
      <c r="AN37" s="679">
        <v>40.294600000000003</v>
      </c>
      <c r="AO37" s="679">
        <v>40.294600000000003</v>
      </c>
      <c r="AP37" s="679">
        <v>5.4946999999999999</v>
      </c>
      <c r="AQ37" s="679">
        <v>40.294600000000003</v>
      </c>
      <c r="AR37" s="679">
        <v>5.4946999999999999</v>
      </c>
      <c r="AS37" s="787"/>
      <c r="AT37" s="712"/>
      <c r="AU37" s="686"/>
      <c r="AV37" s="679"/>
      <c r="AW37" s="686"/>
      <c r="AX37" s="679"/>
      <c r="AY37" s="686"/>
      <c r="AZ37" s="679"/>
      <c r="BA37" s="689"/>
      <c r="BB37" s="684"/>
      <c r="BC37" s="691"/>
      <c r="BD37" s="799"/>
      <c r="BE37" s="799"/>
      <c r="BF37" s="799"/>
      <c r="BG37" s="799"/>
      <c r="BH37" s="799">
        <v>0</v>
      </c>
      <c r="BI37" s="799">
        <v>0</v>
      </c>
      <c r="BJ37" s="795"/>
      <c r="BK37" s="803"/>
      <c r="BL37" s="799"/>
      <c r="BM37" s="802"/>
      <c r="BN37" s="873"/>
      <c r="BO37" s="873">
        <v>0.14000000000000001</v>
      </c>
      <c r="BP37" s="873">
        <v>1</v>
      </c>
    </row>
    <row r="38" spans="1:68" s="772" customFormat="1" ht="76.5">
      <c r="A38" s="681"/>
      <c r="B38" s="692"/>
      <c r="C38" s="896"/>
      <c r="D38" s="681"/>
      <c r="E38" s="971"/>
      <c r="F38" s="693"/>
      <c r="G38" s="693"/>
      <c r="H38" s="693"/>
      <c r="I38" s="705"/>
      <c r="J38" s="871" t="s">
        <v>2007</v>
      </c>
      <c r="K38" s="871" t="s">
        <v>2008</v>
      </c>
      <c r="L38" s="871" t="s">
        <v>2009</v>
      </c>
      <c r="M38" s="871" t="s">
        <v>2008</v>
      </c>
      <c r="N38" s="694" t="s">
        <v>2009</v>
      </c>
      <c r="O38" s="870" t="s">
        <v>2027</v>
      </c>
      <c r="P38" s="870" t="s">
        <v>2011</v>
      </c>
      <c r="Q38" s="692" t="s">
        <v>2012</v>
      </c>
      <c r="R38" s="692"/>
      <c r="S38" s="692" t="s">
        <v>2008</v>
      </c>
      <c r="T38" s="686"/>
      <c r="U38" s="692" t="s">
        <v>2022</v>
      </c>
      <c r="V38" s="790"/>
      <c r="W38" s="794"/>
      <c r="X38" s="719" t="s">
        <v>2107</v>
      </c>
      <c r="Y38" s="696" t="s">
        <v>2108</v>
      </c>
      <c r="Z38" s="696" t="s">
        <v>2108</v>
      </c>
      <c r="AA38" s="696" t="s">
        <v>2110</v>
      </c>
      <c r="AB38" s="696" t="s">
        <v>2112</v>
      </c>
      <c r="AC38" s="774" t="s">
        <v>2112</v>
      </c>
      <c r="AD38" s="678"/>
      <c r="AE38" s="719"/>
      <c r="AF38" s="698"/>
      <c r="AG38" s="692"/>
      <c r="AH38" s="692"/>
      <c r="AI38" s="695"/>
      <c r="AJ38" s="698" t="s">
        <v>2184</v>
      </c>
      <c r="AK38" s="698" t="s">
        <v>2181</v>
      </c>
      <c r="AL38" s="698" t="s">
        <v>2181</v>
      </c>
      <c r="AM38" s="698" t="s">
        <v>2182</v>
      </c>
      <c r="AN38" s="698" t="s">
        <v>2183</v>
      </c>
      <c r="AO38" s="698" t="s">
        <v>2183</v>
      </c>
      <c r="AP38" s="698" t="s">
        <v>2182</v>
      </c>
      <c r="AQ38" s="698" t="s">
        <v>2183</v>
      </c>
      <c r="AR38" s="698" t="s">
        <v>2182</v>
      </c>
      <c r="AS38" s="788"/>
      <c r="AT38" s="711"/>
      <c r="AU38" s="697"/>
      <c r="AV38" s="698"/>
      <c r="AW38" s="699"/>
      <c r="AX38" s="698"/>
      <c r="AY38" s="697"/>
      <c r="AZ38" s="698"/>
      <c r="BA38" s="698"/>
      <c r="BB38" s="724"/>
      <c r="BC38" s="871" t="s">
        <v>2141</v>
      </c>
      <c r="BD38" s="871" t="s">
        <v>2141</v>
      </c>
      <c r="BE38" s="871" t="s">
        <v>2141</v>
      </c>
      <c r="BF38" s="871" t="s">
        <v>2141</v>
      </c>
      <c r="BG38" s="871" t="s">
        <v>2141</v>
      </c>
      <c r="BH38" s="872" t="s">
        <v>2158</v>
      </c>
      <c r="BI38" s="872" t="s">
        <v>2158</v>
      </c>
      <c r="BJ38" s="806"/>
      <c r="BK38" s="804"/>
      <c r="BL38" s="800"/>
      <c r="BM38" s="802"/>
      <c r="BN38" s="873" t="s">
        <v>2141</v>
      </c>
      <c r="BO38" s="873" t="s">
        <v>2142</v>
      </c>
      <c r="BP38" s="873" t="s">
        <v>2143</v>
      </c>
    </row>
    <row r="39" spans="1:68" s="772" customFormat="1" ht="45">
      <c r="A39" s="681" t="s">
        <v>510</v>
      </c>
      <c r="B39" s="689" t="s">
        <v>133</v>
      </c>
      <c r="C39" s="631" t="s">
        <v>1796</v>
      </c>
      <c r="D39" s="753" t="s">
        <v>2459</v>
      </c>
      <c r="E39" s="766"/>
      <c r="F39" s="709" t="s">
        <v>1996</v>
      </c>
      <c r="G39" s="709" t="s">
        <v>1997</v>
      </c>
      <c r="H39" s="709" t="s">
        <v>541</v>
      </c>
      <c r="I39" s="682" t="s">
        <v>541</v>
      </c>
      <c r="J39" s="871">
        <v>360.87799999999999</v>
      </c>
      <c r="K39" s="871">
        <v>9.5E-4</v>
      </c>
      <c r="L39" s="871">
        <v>24</v>
      </c>
      <c r="M39" s="899">
        <v>4.5729583199999996E-4</v>
      </c>
      <c r="N39" s="871">
        <v>25</v>
      </c>
      <c r="O39" s="871">
        <v>13.52</v>
      </c>
      <c r="P39" s="870">
        <v>11</v>
      </c>
      <c r="Q39" s="689">
        <v>4.9999999999999998E-7</v>
      </c>
      <c r="R39" s="689" t="s">
        <v>541</v>
      </c>
      <c r="S39" s="686">
        <v>7.75</v>
      </c>
      <c r="T39" s="686">
        <f>10^S39</f>
        <v>56234132.519034937</v>
      </c>
      <c r="U39" s="686">
        <v>6.3400604264332303</v>
      </c>
      <c r="V39" s="790">
        <f>10^U39</f>
        <v>2188066.0437257434</v>
      </c>
      <c r="W39" s="674"/>
      <c r="X39" s="780">
        <v>5.0000000000000001E-4</v>
      </c>
      <c r="Y39" s="689">
        <v>1.0000000000000001E-5</v>
      </c>
      <c r="Z39" s="689">
        <v>1.0000000000000001E-5</v>
      </c>
      <c r="AA39" s="689" t="s">
        <v>2109</v>
      </c>
      <c r="AB39" s="689" t="s">
        <v>2111</v>
      </c>
      <c r="AC39" s="775" t="s">
        <v>2111</v>
      </c>
      <c r="AD39" s="690"/>
      <c r="AE39" s="780"/>
      <c r="AF39" s="689"/>
      <c r="AG39" s="689"/>
      <c r="AH39" s="689"/>
      <c r="AI39" s="690"/>
      <c r="AJ39" s="679">
        <v>2.3277999999999999</v>
      </c>
      <c r="AK39" s="679">
        <v>8.1472999999999995</v>
      </c>
      <c r="AL39" s="679">
        <v>8.1472999999999995</v>
      </c>
      <c r="AM39" s="679">
        <v>0.29099999999999998</v>
      </c>
      <c r="AN39" s="679">
        <v>21.5321</v>
      </c>
      <c r="AO39" s="679">
        <v>21.5321</v>
      </c>
      <c r="AP39" s="679">
        <v>0.29099999999999998</v>
      </c>
      <c r="AQ39" s="679">
        <v>21.5321</v>
      </c>
      <c r="AR39" s="679">
        <v>0.29099999999999998</v>
      </c>
      <c r="AS39" s="787"/>
      <c r="AT39" s="712"/>
      <c r="AU39" s="686"/>
      <c r="AV39" s="679"/>
      <c r="AW39" s="686"/>
      <c r="AX39" s="679"/>
      <c r="AY39" s="686"/>
      <c r="AZ39" s="679"/>
      <c r="BA39" s="689"/>
      <c r="BB39" s="684"/>
      <c r="BC39" s="691"/>
      <c r="BD39" s="799"/>
      <c r="BE39" s="799"/>
      <c r="BF39" s="799"/>
      <c r="BG39" s="799"/>
      <c r="BH39" s="799">
        <v>0</v>
      </c>
      <c r="BI39" s="799">
        <v>0</v>
      </c>
      <c r="BJ39" s="795"/>
      <c r="BK39" s="803"/>
      <c r="BL39" s="799"/>
      <c r="BM39" s="802"/>
      <c r="BN39" s="873"/>
      <c r="BO39" s="873">
        <v>0.14000000000000001</v>
      </c>
      <c r="BP39" s="873">
        <v>1</v>
      </c>
    </row>
    <row r="40" spans="1:68" s="772" customFormat="1" ht="76.5">
      <c r="A40" s="681"/>
      <c r="B40" s="692"/>
      <c r="C40" s="896"/>
      <c r="D40" s="681"/>
      <c r="E40" s="971"/>
      <c r="F40" s="693"/>
      <c r="G40" s="693"/>
      <c r="H40" s="693"/>
      <c r="I40" s="705"/>
      <c r="J40" s="871" t="s">
        <v>2007</v>
      </c>
      <c r="K40" s="871" t="s">
        <v>2008</v>
      </c>
      <c r="L40" s="871" t="s">
        <v>2009</v>
      </c>
      <c r="M40" s="871" t="s">
        <v>2008</v>
      </c>
      <c r="N40" s="694" t="s">
        <v>2009</v>
      </c>
      <c r="O40" s="870" t="s">
        <v>2028</v>
      </c>
      <c r="P40" s="870" t="s">
        <v>2011</v>
      </c>
      <c r="Q40" s="692" t="s">
        <v>2012</v>
      </c>
      <c r="R40" s="692"/>
      <c r="S40" s="692" t="s">
        <v>2008</v>
      </c>
      <c r="T40" s="686"/>
      <c r="U40" s="692" t="s">
        <v>2023</v>
      </c>
      <c r="V40" s="790"/>
      <c r="W40" s="794"/>
      <c r="X40" s="719" t="s">
        <v>2107</v>
      </c>
      <c r="Y40" s="696" t="s">
        <v>2108</v>
      </c>
      <c r="Z40" s="696" t="s">
        <v>2108</v>
      </c>
      <c r="AA40" s="696" t="s">
        <v>2110</v>
      </c>
      <c r="AB40" s="696" t="s">
        <v>2112</v>
      </c>
      <c r="AC40" s="774" t="s">
        <v>2112</v>
      </c>
      <c r="AD40" s="678"/>
      <c r="AE40" s="719"/>
      <c r="AF40" s="698"/>
      <c r="AG40" s="692"/>
      <c r="AH40" s="692"/>
      <c r="AI40" s="695"/>
      <c r="AJ40" s="698" t="s">
        <v>2185</v>
      </c>
      <c r="AK40" s="698" t="s">
        <v>2186</v>
      </c>
      <c r="AL40" s="698" t="s">
        <v>2186</v>
      </c>
      <c r="AM40" s="698" t="s">
        <v>2187</v>
      </c>
      <c r="AN40" s="698" t="s">
        <v>2188</v>
      </c>
      <c r="AO40" s="698" t="s">
        <v>2188</v>
      </c>
      <c r="AP40" s="698" t="s">
        <v>2187</v>
      </c>
      <c r="AQ40" s="698" t="s">
        <v>2188</v>
      </c>
      <c r="AR40" s="698" t="s">
        <v>2187</v>
      </c>
      <c r="AS40" s="788"/>
      <c r="AT40" s="711"/>
      <c r="AU40" s="697"/>
      <c r="AV40" s="698"/>
      <c r="AW40" s="699"/>
      <c r="AX40" s="698"/>
      <c r="AY40" s="697"/>
      <c r="AZ40" s="698"/>
      <c r="BA40" s="698"/>
      <c r="BB40" s="724"/>
      <c r="BC40" s="871" t="s">
        <v>2141</v>
      </c>
      <c r="BD40" s="871" t="s">
        <v>2141</v>
      </c>
      <c r="BE40" s="871" t="s">
        <v>2141</v>
      </c>
      <c r="BF40" s="871" t="s">
        <v>2141</v>
      </c>
      <c r="BG40" s="871" t="s">
        <v>2141</v>
      </c>
      <c r="BH40" s="872" t="s">
        <v>2158</v>
      </c>
      <c r="BI40" s="872" t="s">
        <v>2158</v>
      </c>
      <c r="BJ40" s="806"/>
      <c r="BK40" s="804"/>
      <c r="BL40" s="800"/>
      <c r="BM40" s="802"/>
      <c r="BN40" s="873" t="s">
        <v>2141</v>
      </c>
      <c r="BO40" s="873" t="s">
        <v>2142</v>
      </c>
      <c r="BP40" s="873" t="s">
        <v>2143</v>
      </c>
    </row>
    <row r="41" spans="1:68" s="772" customFormat="1" ht="45">
      <c r="A41" s="681" t="s">
        <v>335</v>
      </c>
      <c r="B41" s="689" t="s">
        <v>135</v>
      </c>
      <c r="C41" s="631" t="s">
        <v>1797</v>
      </c>
      <c r="D41" s="753" t="s">
        <v>2460</v>
      </c>
      <c r="E41" s="766"/>
      <c r="F41" s="709" t="s">
        <v>1996</v>
      </c>
      <c r="G41" s="709" t="s">
        <v>1997</v>
      </c>
      <c r="H41" s="709" t="s">
        <v>541</v>
      </c>
      <c r="I41" s="682" t="s">
        <v>541</v>
      </c>
      <c r="J41" s="871">
        <v>395.32299999999998</v>
      </c>
      <c r="K41" s="871">
        <v>3.8500000000000001E-3</v>
      </c>
      <c r="L41" s="871">
        <v>20</v>
      </c>
      <c r="M41" s="899">
        <v>1.3025598479999998E-4</v>
      </c>
      <c r="N41" s="871">
        <v>25</v>
      </c>
      <c r="O41" s="871">
        <v>2.0249999999999999</v>
      </c>
      <c r="P41" s="870">
        <v>11</v>
      </c>
      <c r="Q41" s="689">
        <v>4.9999999999999998E-7</v>
      </c>
      <c r="R41" s="689" t="s">
        <v>541</v>
      </c>
      <c r="S41" s="686">
        <v>8.27</v>
      </c>
      <c r="T41" s="686">
        <f>10^S41</f>
        <v>186208713.66628659</v>
      </c>
      <c r="U41" s="686">
        <v>6.6749046683095496</v>
      </c>
      <c r="V41" s="790">
        <f>10^U41</f>
        <v>4730474.0924436711</v>
      </c>
      <c r="W41" s="674"/>
      <c r="X41" s="780">
        <v>5.0000000000000001E-4</v>
      </c>
      <c r="Y41" s="689">
        <v>1.0000000000000001E-5</v>
      </c>
      <c r="Z41" s="689">
        <v>1.0000000000000001E-5</v>
      </c>
      <c r="AA41" s="689" t="s">
        <v>2109</v>
      </c>
      <c r="AB41" s="689" t="s">
        <v>2111</v>
      </c>
      <c r="AC41" s="775" t="s">
        <v>2111</v>
      </c>
      <c r="AD41" s="690"/>
      <c r="AE41" s="780"/>
      <c r="AF41" s="689"/>
      <c r="AG41" s="689"/>
      <c r="AH41" s="689"/>
      <c r="AI41" s="690"/>
      <c r="AJ41" s="679">
        <v>2.3277999999999999</v>
      </c>
      <c r="AK41" s="679">
        <v>8.1472999999999995</v>
      </c>
      <c r="AL41" s="679">
        <v>8.1472999999999995</v>
      </c>
      <c r="AM41" s="679">
        <v>0.29099999999999998</v>
      </c>
      <c r="AN41" s="679">
        <v>21.5321</v>
      </c>
      <c r="AO41" s="679">
        <v>21.5321</v>
      </c>
      <c r="AP41" s="679">
        <v>0.29099999999999998</v>
      </c>
      <c r="AQ41" s="679">
        <v>21.5321</v>
      </c>
      <c r="AR41" s="679">
        <v>0.29099999999999998</v>
      </c>
      <c r="AS41" s="787"/>
      <c r="AT41" s="712"/>
      <c r="AU41" s="686"/>
      <c r="AV41" s="679"/>
      <c r="AW41" s="686"/>
      <c r="AX41" s="679"/>
      <c r="AY41" s="686"/>
      <c r="AZ41" s="679"/>
      <c r="BA41" s="689"/>
      <c r="BB41" s="684"/>
      <c r="BC41" s="691"/>
      <c r="BD41" s="799"/>
      <c r="BE41" s="799"/>
      <c r="BF41" s="799"/>
      <c r="BG41" s="799"/>
      <c r="BH41" s="799">
        <v>0</v>
      </c>
      <c r="BI41" s="799">
        <v>0</v>
      </c>
      <c r="BJ41" s="795"/>
      <c r="BK41" s="803"/>
      <c r="BL41" s="799"/>
      <c r="BM41" s="802"/>
      <c r="BN41" s="873"/>
      <c r="BO41" s="873">
        <v>0.14000000000000001</v>
      </c>
      <c r="BP41" s="873">
        <v>1</v>
      </c>
    </row>
    <row r="42" spans="1:68" s="772" customFormat="1" ht="89.25">
      <c r="A42" s="681"/>
      <c r="B42" s="692"/>
      <c r="C42" s="896"/>
      <c r="D42" s="681"/>
      <c r="E42" s="971"/>
      <c r="F42" s="693"/>
      <c r="G42" s="693"/>
      <c r="H42" s="693"/>
      <c r="I42" s="705"/>
      <c r="J42" s="871" t="s">
        <v>2007</v>
      </c>
      <c r="K42" s="871" t="s">
        <v>2008</v>
      </c>
      <c r="L42" s="871" t="s">
        <v>2009</v>
      </c>
      <c r="M42" s="871" t="s">
        <v>2008</v>
      </c>
      <c r="N42" s="694" t="s">
        <v>2009</v>
      </c>
      <c r="O42" s="870" t="s">
        <v>2029</v>
      </c>
      <c r="P42" s="870" t="s">
        <v>2011</v>
      </c>
      <c r="Q42" s="692" t="s">
        <v>2012</v>
      </c>
      <c r="R42" s="692"/>
      <c r="S42" s="692" t="s">
        <v>2019</v>
      </c>
      <c r="T42" s="686"/>
      <c r="U42" s="692" t="s">
        <v>2022</v>
      </c>
      <c r="V42" s="790"/>
      <c r="W42" s="794"/>
      <c r="X42" s="719" t="s">
        <v>2107</v>
      </c>
      <c r="Y42" s="696" t="s">
        <v>2108</v>
      </c>
      <c r="Z42" s="696" t="s">
        <v>2108</v>
      </c>
      <c r="AA42" s="696" t="s">
        <v>2110</v>
      </c>
      <c r="AB42" s="696" t="s">
        <v>2112</v>
      </c>
      <c r="AC42" s="774" t="s">
        <v>2112</v>
      </c>
      <c r="AD42" s="678"/>
      <c r="AE42" s="719"/>
      <c r="AF42" s="698"/>
      <c r="AG42" s="692"/>
      <c r="AH42" s="692"/>
      <c r="AI42" s="695"/>
      <c r="AJ42" s="698" t="s">
        <v>2464</v>
      </c>
      <c r="AK42" s="698" t="s">
        <v>2465</v>
      </c>
      <c r="AL42" s="698" t="s">
        <v>2465</v>
      </c>
      <c r="AM42" s="698" t="s">
        <v>2466</v>
      </c>
      <c r="AN42" s="698" t="s">
        <v>2467</v>
      </c>
      <c r="AO42" s="698" t="s">
        <v>2467</v>
      </c>
      <c r="AP42" s="698" t="s">
        <v>2466</v>
      </c>
      <c r="AQ42" s="698" t="s">
        <v>2467</v>
      </c>
      <c r="AR42" s="698" t="s">
        <v>2466</v>
      </c>
      <c r="AS42" s="788"/>
      <c r="AT42" s="711"/>
      <c r="AU42" s="697"/>
      <c r="AV42" s="698"/>
      <c r="AW42" s="699"/>
      <c r="AX42" s="698"/>
      <c r="AY42" s="697"/>
      <c r="AZ42" s="698"/>
      <c r="BA42" s="698"/>
      <c r="BB42" s="724"/>
      <c r="BC42" s="871" t="s">
        <v>2141</v>
      </c>
      <c r="BD42" s="871" t="s">
        <v>2141</v>
      </c>
      <c r="BE42" s="871" t="s">
        <v>2141</v>
      </c>
      <c r="BF42" s="871" t="s">
        <v>2141</v>
      </c>
      <c r="BG42" s="871" t="s">
        <v>2141</v>
      </c>
      <c r="BH42" s="872" t="s">
        <v>2158</v>
      </c>
      <c r="BI42" s="872" t="s">
        <v>2158</v>
      </c>
      <c r="BJ42" s="806"/>
      <c r="BK42" s="804"/>
      <c r="BL42" s="800"/>
      <c r="BM42" s="802"/>
      <c r="BN42" s="873" t="s">
        <v>2141</v>
      </c>
      <c r="BO42" s="873" t="s">
        <v>2142</v>
      </c>
      <c r="BP42" s="873" t="s">
        <v>2143</v>
      </c>
    </row>
    <row r="43" spans="1:68" ht="15.75">
      <c r="A43" s="149">
        <v>14</v>
      </c>
      <c r="B43" s="150" t="s">
        <v>66</v>
      </c>
      <c r="C43" s="151" t="s">
        <v>653</v>
      </c>
      <c r="D43" s="682" t="s">
        <v>2519</v>
      </c>
      <c r="E43" s="767"/>
      <c r="F43" s="260"/>
      <c r="G43" s="260"/>
      <c r="H43" s="260"/>
      <c r="I43" s="259" t="s">
        <v>541</v>
      </c>
      <c r="J43" s="260">
        <v>112.557</v>
      </c>
      <c r="K43" s="261">
        <v>453.7</v>
      </c>
      <c r="L43" s="262">
        <v>10</v>
      </c>
      <c r="M43" s="261">
        <v>700.52</v>
      </c>
      <c r="N43" s="262">
        <v>10</v>
      </c>
      <c r="O43" s="263">
        <v>183.6</v>
      </c>
      <c r="P43" s="262">
        <v>10</v>
      </c>
      <c r="Q43" s="264">
        <v>3.4999999999999999E-6</v>
      </c>
      <c r="R43" s="264"/>
      <c r="S43" s="261">
        <v>2.84</v>
      </c>
      <c r="T43" s="261">
        <f>10^S43</f>
        <v>691.83097091893671</v>
      </c>
      <c r="U43" s="261">
        <v>2.3066</v>
      </c>
      <c r="V43" s="519">
        <f>10^U43</f>
        <v>202.58160145013579</v>
      </c>
      <c r="W43" s="795"/>
      <c r="X43" s="511"/>
      <c r="Y43" s="264"/>
      <c r="Z43" s="264"/>
      <c r="AA43" s="264"/>
      <c r="AB43" s="264"/>
      <c r="AC43" s="499"/>
      <c r="AD43" s="690"/>
      <c r="AE43" s="511">
        <v>0.02</v>
      </c>
      <c r="AF43" s="264">
        <v>0.5</v>
      </c>
      <c r="AG43" s="264"/>
      <c r="AH43" s="264"/>
      <c r="AI43" s="690"/>
      <c r="AJ43" s="153"/>
      <c r="AK43" s="153"/>
      <c r="AL43" s="153"/>
      <c r="AM43" s="153"/>
      <c r="AN43" s="153"/>
      <c r="AO43" s="153"/>
      <c r="AP43" s="153"/>
      <c r="AQ43" s="153"/>
      <c r="AR43" s="153"/>
      <c r="AS43" s="810"/>
      <c r="AT43" s="173"/>
      <c r="AU43" s="153"/>
      <c r="AV43" s="156"/>
      <c r="AW43" s="153"/>
      <c r="AX43" s="156"/>
      <c r="AY43" s="153"/>
      <c r="AZ43" s="153"/>
      <c r="BA43" s="156"/>
      <c r="BB43" s="684"/>
      <c r="BC43" s="157"/>
      <c r="BD43" s="521"/>
      <c r="BE43" s="521"/>
      <c r="BF43" s="521"/>
      <c r="BG43" s="521"/>
      <c r="BH43" s="521"/>
      <c r="BI43" s="521"/>
      <c r="BJ43" s="795"/>
      <c r="BK43" s="523"/>
      <c r="BL43" s="521"/>
      <c r="BN43" s="343"/>
      <c r="BO43" s="343"/>
      <c r="BP43" s="343"/>
    </row>
    <row r="44" spans="1:68" ht="242.25">
      <c r="A44" s="149"/>
      <c r="B44" s="158"/>
      <c r="C44" s="151"/>
      <c r="D44" s="682"/>
      <c r="E44" s="767"/>
      <c r="F44" s="266"/>
      <c r="G44" s="266"/>
      <c r="H44" s="266"/>
      <c r="I44" s="265" t="s">
        <v>661</v>
      </c>
      <c r="J44" s="266" t="s">
        <v>655</v>
      </c>
      <c r="K44" s="267" t="s">
        <v>656</v>
      </c>
      <c r="L44" s="267"/>
      <c r="M44" s="267" t="s">
        <v>657</v>
      </c>
      <c r="N44" s="267"/>
      <c r="O44" s="263" t="s">
        <v>654</v>
      </c>
      <c r="P44" s="267"/>
      <c r="Q44" s="267" t="s">
        <v>658</v>
      </c>
      <c r="R44" s="267"/>
      <c r="S44" s="265" t="s">
        <v>659</v>
      </c>
      <c r="T44" s="261"/>
      <c r="U44" s="267" t="s">
        <v>660</v>
      </c>
      <c r="V44" s="519"/>
      <c r="W44" s="796"/>
      <c r="X44" s="266"/>
      <c r="Y44" s="265"/>
      <c r="Z44" s="265"/>
      <c r="AA44" s="265"/>
      <c r="AB44" s="265"/>
      <c r="AC44" s="500"/>
      <c r="AD44" s="695"/>
      <c r="AE44" s="266" t="s">
        <v>662</v>
      </c>
      <c r="AF44" s="265" t="s">
        <v>663</v>
      </c>
      <c r="AG44" s="265"/>
      <c r="AH44" s="265"/>
      <c r="AI44" s="695"/>
      <c r="AJ44" s="161"/>
      <c r="AK44" s="161"/>
      <c r="AL44" s="161"/>
      <c r="AM44" s="161"/>
      <c r="AN44" s="161"/>
      <c r="AO44" s="161"/>
      <c r="AP44" s="161"/>
      <c r="AQ44" s="161"/>
      <c r="AR44" s="161"/>
      <c r="AS44" s="678"/>
      <c r="AT44" s="185"/>
      <c r="AU44" s="162"/>
      <c r="AV44" s="163"/>
      <c r="AW44" s="164"/>
      <c r="AX44" s="163"/>
      <c r="AY44" s="162"/>
      <c r="AZ44" s="164"/>
      <c r="BA44" s="163"/>
      <c r="BB44" s="695"/>
      <c r="BC44" s="165"/>
      <c r="BD44" s="522"/>
      <c r="BE44" s="522"/>
      <c r="BF44" s="522"/>
      <c r="BG44" s="522"/>
      <c r="BH44" s="522"/>
      <c r="BI44" s="522"/>
      <c r="BJ44" s="806"/>
      <c r="BK44" s="524"/>
      <c r="BL44" s="522"/>
      <c r="BN44" s="343"/>
      <c r="BO44" s="343"/>
      <c r="BP44" s="343"/>
    </row>
    <row r="45" spans="1:68" ht="15.75">
      <c r="A45" s="149">
        <v>15</v>
      </c>
      <c r="B45" s="150" t="s">
        <v>71</v>
      </c>
      <c r="C45" s="151" t="s">
        <v>664</v>
      </c>
      <c r="D45" s="682" t="s">
        <v>2520</v>
      </c>
      <c r="E45" s="766"/>
      <c r="F45" s="260"/>
      <c r="G45" s="260"/>
      <c r="H45" s="260"/>
      <c r="I45" s="259" t="s">
        <v>541</v>
      </c>
      <c r="J45" s="260">
        <v>147.00200000000001</v>
      </c>
      <c r="K45" s="259">
        <v>132.97</v>
      </c>
      <c r="L45" s="262">
        <v>10</v>
      </c>
      <c r="M45" s="261">
        <v>64.923000000000002</v>
      </c>
      <c r="N45" s="262">
        <v>10</v>
      </c>
      <c r="O45" s="264">
        <v>165</v>
      </c>
      <c r="P45" s="262">
        <v>10</v>
      </c>
      <c r="Q45" s="264">
        <v>1.9999999999999999E-6</v>
      </c>
      <c r="R45" s="264"/>
      <c r="S45" s="261">
        <v>3.38</v>
      </c>
      <c r="T45" s="261">
        <f t="shared" ref="T45:T95" si="2">10^S45</f>
        <v>2398.8329190194918</v>
      </c>
      <c r="U45" s="261">
        <v>2.677113163</v>
      </c>
      <c r="V45" s="519">
        <f t="shared" ref="V45:V95" si="3">10^U45</f>
        <v>475.45909896222446</v>
      </c>
      <c r="W45" s="795"/>
      <c r="X45" s="511"/>
      <c r="Y45" s="264"/>
      <c r="Z45" s="264"/>
      <c r="AA45" s="264"/>
      <c r="AB45" s="264"/>
      <c r="AC45" s="499"/>
      <c r="AD45" s="690"/>
      <c r="AE45" s="511">
        <v>0.09</v>
      </c>
      <c r="AF45" s="264">
        <v>0.6</v>
      </c>
      <c r="AG45" s="259"/>
      <c r="AH45" s="259"/>
      <c r="AI45" s="684"/>
      <c r="AJ45" s="153"/>
      <c r="AK45" s="153"/>
      <c r="AL45" s="153"/>
      <c r="AM45" s="153"/>
      <c r="AN45" s="153"/>
      <c r="AO45" s="153"/>
      <c r="AP45" s="153"/>
      <c r="AQ45" s="153"/>
      <c r="AR45" s="153"/>
      <c r="AS45" s="810"/>
      <c r="AT45" s="173"/>
      <c r="AU45" s="153"/>
      <c r="AV45" s="156"/>
      <c r="AW45" s="153"/>
      <c r="AX45" s="156"/>
      <c r="AY45" s="153"/>
      <c r="AZ45" s="153"/>
      <c r="BA45" s="156"/>
      <c r="BB45" s="684"/>
      <c r="BC45" s="157"/>
      <c r="BD45" s="521"/>
      <c r="BE45" s="521"/>
      <c r="BF45" s="521"/>
      <c r="BG45" s="521"/>
      <c r="BH45" s="521"/>
      <c r="BI45" s="521"/>
      <c r="BJ45" s="795"/>
      <c r="BK45" s="523"/>
      <c r="BL45" s="521"/>
      <c r="BN45" s="343"/>
      <c r="BO45" s="343"/>
      <c r="BP45" s="343"/>
    </row>
    <row r="46" spans="1:68" ht="242.25">
      <c r="A46" s="149"/>
      <c r="B46" s="158"/>
      <c r="C46" s="151"/>
      <c r="D46" s="682"/>
      <c r="E46" s="767"/>
      <c r="F46" s="266"/>
      <c r="G46" s="266"/>
      <c r="H46" s="266"/>
      <c r="I46" s="265" t="s">
        <v>661</v>
      </c>
      <c r="J46" s="266" t="s">
        <v>665</v>
      </c>
      <c r="K46" s="267" t="s">
        <v>666</v>
      </c>
      <c r="L46" s="267"/>
      <c r="M46" s="265" t="s">
        <v>667</v>
      </c>
      <c r="N46" s="267"/>
      <c r="O46" s="263" t="s">
        <v>654</v>
      </c>
      <c r="P46" s="267"/>
      <c r="Q46" s="267" t="s">
        <v>658</v>
      </c>
      <c r="R46" s="267"/>
      <c r="S46" s="265" t="s">
        <v>659</v>
      </c>
      <c r="T46" s="261"/>
      <c r="U46" s="267" t="s">
        <v>668</v>
      </c>
      <c r="V46" s="519"/>
      <c r="W46" s="796"/>
      <c r="X46" s="266"/>
      <c r="Y46" s="265"/>
      <c r="Z46" s="265"/>
      <c r="AA46" s="265"/>
      <c r="AB46" s="265"/>
      <c r="AC46" s="500"/>
      <c r="AD46" s="695"/>
      <c r="AE46" s="266" t="s">
        <v>669</v>
      </c>
      <c r="AF46" s="265" t="s">
        <v>670</v>
      </c>
      <c r="AG46" s="265"/>
      <c r="AH46" s="265"/>
      <c r="AI46" s="695"/>
      <c r="AJ46" s="161"/>
      <c r="AK46" s="161"/>
      <c r="AL46" s="161"/>
      <c r="AM46" s="161"/>
      <c r="AN46" s="161"/>
      <c r="AO46" s="161"/>
      <c r="AP46" s="161"/>
      <c r="AQ46" s="161"/>
      <c r="AR46" s="161"/>
      <c r="AS46" s="678"/>
      <c r="AT46" s="185"/>
      <c r="AU46" s="162"/>
      <c r="AV46" s="163"/>
      <c r="AW46" s="164"/>
      <c r="AX46" s="163"/>
      <c r="AY46" s="162"/>
      <c r="AZ46" s="164"/>
      <c r="BA46" s="163"/>
      <c r="BB46" s="695"/>
      <c r="BC46" s="165"/>
      <c r="BD46" s="522"/>
      <c r="BE46" s="522"/>
      <c r="BF46" s="522"/>
      <c r="BG46" s="522"/>
      <c r="BH46" s="522"/>
      <c r="BI46" s="522"/>
      <c r="BJ46" s="806"/>
      <c r="BK46" s="524"/>
      <c r="BL46" s="522"/>
      <c r="BN46" s="343"/>
      <c r="BO46" s="343"/>
      <c r="BP46" s="343"/>
    </row>
    <row r="47" spans="1:68">
      <c r="A47" s="149">
        <v>16</v>
      </c>
      <c r="B47" s="150" t="s">
        <v>72</v>
      </c>
      <c r="C47" s="151" t="s">
        <v>671</v>
      </c>
      <c r="D47" s="682"/>
      <c r="E47" s="767"/>
      <c r="F47" s="260"/>
      <c r="G47" s="260"/>
      <c r="H47" s="260"/>
      <c r="I47" s="259"/>
      <c r="J47" s="260"/>
      <c r="K47" s="270"/>
      <c r="L47" s="271"/>
      <c r="M47" s="261"/>
      <c r="N47" s="262"/>
      <c r="O47" s="264">
        <v>224</v>
      </c>
      <c r="P47" s="262">
        <v>10</v>
      </c>
      <c r="Q47" s="264"/>
      <c r="R47" s="264"/>
      <c r="S47" s="261"/>
      <c r="T47" s="261"/>
      <c r="U47" s="261"/>
      <c r="V47" s="519"/>
      <c r="W47" s="797"/>
      <c r="X47" s="511"/>
      <c r="Y47" s="264"/>
      <c r="Z47" s="264"/>
      <c r="AA47" s="264"/>
      <c r="AB47" s="264"/>
      <c r="AC47" s="499"/>
      <c r="AD47" s="690"/>
      <c r="AE47" s="511"/>
      <c r="AF47" s="264"/>
      <c r="AG47" s="264"/>
      <c r="AH47" s="264"/>
      <c r="AI47" s="690"/>
      <c r="AJ47" s="153"/>
      <c r="AK47" s="153"/>
      <c r="AL47" s="153"/>
      <c r="AM47" s="153"/>
      <c r="AN47" s="153"/>
      <c r="AO47" s="153"/>
      <c r="AP47" s="153"/>
      <c r="AQ47" s="153"/>
      <c r="AR47" s="153"/>
      <c r="AS47" s="810"/>
      <c r="AT47" s="173"/>
      <c r="AU47" s="153"/>
      <c r="AV47" s="156"/>
      <c r="AW47" s="153"/>
      <c r="AX47" s="156"/>
      <c r="AY47" s="153"/>
      <c r="AZ47" s="153"/>
      <c r="BA47" s="156"/>
      <c r="BB47" s="684"/>
      <c r="BC47" s="157"/>
      <c r="BD47" s="521"/>
      <c r="BE47" s="521"/>
      <c r="BF47" s="521"/>
      <c r="BG47" s="521"/>
      <c r="BH47" s="521"/>
      <c r="BI47" s="521"/>
      <c r="BJ47" s="795"/>
      <c r="BK47" s="523"/>
      <c r="BL47" s="521"/>
      <c r="BN47" s="343"/>
      <c r="BO47" s="343"/>
      <c r="BP47" s="343"/>
    </row>
    <row r="48" spans="1:68">
      <c r="A48" s="149"/>
      <c r="B48" s="158"/>
      <c r="C48" s="151"/>
      <c r="D48" s="682"/>
      <c r="E48" s="767"/>
      <c r="F48" s="266"/>
      <c r="G48" s="266"/>
      <c r="H48" s="266"/>
      <c r="I48" s="265"/>
      <c r="J48" s="266"/>
      <c r="K48" s="272"/>
      <c r="L48" s="273"/>
      <c r="M48" s="267"/>
      <c r="N48" s="267"/>
      <c r="O48" s="263" t="s">
        <v>654</v>
      </c>
      <c r="P48" s="267"/>
      <c r="Q48" s="267"/>
      <c r="R48" s="267"/>
      <c r="S48" s="267"/>
      <c r="T48" s="261"/>
      <c r="U48" s="267"/>
      <c r="V48" s="519"/>
      <c r="W48" s="798"/>
      <c r="X48" s="266"/>
      <c r="Y48" s="265"/>
      <c r="Z48" s="265"/>
      <c r="AA48" s="265"/>
      <c r="AB48" s="265"/>
      <c r="AC48" s="500"/>
      <c r="AD48" s="695"/>
      <c r="AE48" s="266"/>
      <c r="AF48" s="265"/>
      <c r="AG48" s="265"/>
      <c r="AH48" s="265"/>
      <c r="AI48" s="695"/>
      <c r="AJ48" s="161"/>
      <c r="AK48" s="161"/>
      <c r="AL48" s="161"/>
      <c r="AM48" s="161"/>
      <c r="AN48" s="161"/>
      <c r="AO48" s="161"/>
      <c r="AP48" s="161"/>
      <c r="AQ48" s="161"/>
      <c r="AR48" s="161"/>
      <c r="AS48" s="678"/>
      <c r="AT48" s="185"/>
      <c r="AU48" s="162"/>
      <c r="AV48" s="163"/>
      <c r="AW48" s="164"/>
      <c r="AX48" s="163"/>
      <c r="AY48" s="162"/>
      <c r="AZ48" s="164"/>
      <c r="BA48" s="163"/>
      <c r="BB48" s="695"/>
      <c r="BC48" s="165"/>
      <c r="BD48" s="522"/>
      <c r="BE48" s="522"/>
      <c r="BF48" s="522"/>
      <c r="BG48" s="522"/>
      <c r="BH48" s="522"/>
      <c r="BI48" s="522"/>
      <c r="BJ48" s="806"/>
      <c r="BK48" s="524"/>
      <c r="BL48" s="522"/>
      <c r="BN48" s="343"/>
      <c r="BO48" s="343"/>
      <c r="BP48" s="343"/>
    </row>
    <row r="49" spans="1:68">
      <c r="A49" s="149">
        <v>17</v>
      </c>
      <c r="B49" s="150" t="s">
        <v>73</v>
      </c>
      <c r="C49" s="151" t="s">
        <v>671</v>
      </c>
      <c r="D49" s="682"/>
      <c r="E49" s="767"/>
      <c r="F49" s="260"/>
      <c r="G49" s="260"/>
      <c r="H49" s="260"/>
      <c r="I49" s="259" t="s">
        <v>541</v>
      </c>
      <c r="J49" s="260">
        <v>147.00200000000001</v>
      </c>
      <c r="K49" s="258">
        <v>51.2</v>
      </c>
      <c r="L49" s="271">
        <v>10</v>
      </c>
      <c r="M49" s="261">
        <v>32.94</v>
      </c>
      <c r="N49" s="262">
        <v>10</v>
      </c>
      <c r="O49" s="264">
        <v>215</v>
      </c>
      <c r="P49" s="262">
        <v>10</v>
      </c>
      <c r="Q49" s="264">
        <v>1.9999999999999999E-6</v>
      </c>
      <c r="R49" s="264"/>
      <c r="S49" s="261">
        <v>3.38</v>
      </c>
      <c r="T49" s="261">
        <f t="shared" si="2"/>
        <v>2398.8329190194918</v>
      </c>
      <c r="U49" s="261">
        <v>2.83</v>
      </c>
      <c r="V49" s="519">
        <f t="shared" si="3"/>
        <v>676.08297539198213</v>
      </c>
      <c r="W49" s="680"/>
      <c r="X49" s="511"/>
      <c r="Y49" s="264"/>
      <c r="Z49" s="264"/>
      <c r="AA49" s="264"/>
      <c r="AB49" s="264"/>
      <c r="AC49" s="499"/>
      <c r="AD49" s="690"/>
      <c r="AE49" s="511">
        <v>7.0000000000000007E-2</v>
      </c>
      <c r="AF49" s="264">
        <v>6.0999999999999999E-2</v>
      </c>
      <c r="AG49" s="259">
        <f>0.00001/0.04</f>
        <v>2.5000000000000001E-4</v>
      </c>
      <c r="AH49" s="259">
        <f>(0.00001/0.000011)*0.001</f>
        <v>9.090909090909092E-4</v>
      </c>
      <c r="AI49" s="684"/>
      <c r="AJ49" s="153"/>
      <c r="AK49" s="153"/>
      <c r="AL49" s="153"/>
      <c r="AM49" s="153"/>
      <c r="AN49" s="153"/>
      <c r="AO49" s="153"/>
      <c r="AP49" s="153"/>
      <c r="AQ49" s="153"/>
      <c r="AR49" s="153"/>
      <c r="AS49" s="810"/>
      <c r="AT49" s="173"/>
      <c r="AU49" s="153"/>
      <c r="AV49" s="156"/>
      <c r="AW49" s="153"/>
      <c r="AX49" s="156"/>
      <c r="AY49" s="153"/>
      <c r="AZ49" s="153"/>
      <c r="BA49" s="156"/>
      <c r="BB49" s="684"/>
      <c r="BC49" s="157"/>
      <c r="BD49" s="521"/>
      <c r="BE49" s="521"/>
      <c r="BF49" s="521"/>
      <c r="BG49" s="521"/>
      <c r="BH49" s="521"/>
      <c r="BI49" s="521"/>
      <c r="BJ49" s="795"/>
      <c r="BK49" s="523"/>
      <c r="BL49" s="521"/>
      <c r="BN49" s="343"/>
      <c r="BO49" s="343"/>
      <c r="BP49" s="343"/>
    </row>
    <row r="50" spans="1:68" ht="242.25">
      <c r="A50" s="149"/>
      <c r="B50" s="158"/>
      <c r="C50" s="151"/>
      <c r="D50" s="682"/>
      <c r="E50" s="767"/>
      <c r="F50" s="266"/>
      <c r="G50" s="266"/>
      <c r="H50" s="266"/>
      <c r="I50" s="265" t="s">
        <v>661</v>
      </c>
      <c r="J50" s="266" t="s">
        <v>672</v>
      </c>
      <c r="K50" s="265" t="s">
        <v>673</v>
      </c>
      <c r="L50" s="267"/>
      <c r="M50" s="267" t="s">
        <v>674</v>
      </c>
      <c r="N50" s="267"/>
      <c r="O50" s="263" t="s">
        <v>654</v>
      </c>
      <c r="P50" s="267"/>
      <c r="Q50" s="267" t="s">
        <v>658</v>
      </c>
      <c r="R50" s="267"/>
      <c r="S50" s="265" t="s">
        <v>659</v>
      </c>
      <c r="T50" s="261"/>
      <c r="U50" s="267" t="s">
        <v>675</v>
      </c>
      <c r="V50" s="519"/>
      <c r="W50" s="796"/>
      <c r="X50" s="266"/>
      <c r="Y50" s="265"/>
      <c r="Z50" s="265"/>
      <c r="AA50" s="265"/>
      <c r="AB50" s="265"/>
      <c r="AC50" s="500"/>
      <c r="AD50" s="695"/>
      <c r="AE50" s="266" t="s">
        <v>676</v>
      </c>
      <c r="AF50" s="265" t="s">
        <v>676</v>
      </c>
      <c r="AG50" s="265" t="s">
        <v>677</v>
      </c>
      <c r="AH50" s="265" t="s">
        <v>678</v>
      </c>
      <c r="AI50" s="695"/>
      <c r="AJ50" s="161"/>
      <c r="AK50" s="161"/>
      <c r="AL50" s="161"/>
      <c r="AM50" s="161"/>
      <c r="AN50" s="161"/>
      <c r="AO50" s="161"/>
      <c r="AP50" s="161"/>
      <c r="AQ50" s="161"/>
      <c r="AR50" s="161"/>
      <c r="AS50" s="678"/>
      <c r="AT50" s="185"/>
      <c r="AU50" s="162"/>
      <c r="AV50" s="163"/>
      <c r="AW50" s="164"/>
      <c r="AX50" s="163"/>
      <c r="AY50" s="162"/>
      <c r="AZ50" s="164"/>
      <c r="BA50" s="163"/>
      <c r="BB50" s="695"/>
      <c r="BC50" s="165"/>
      <c r="BD50" s="522"/>
      <c r="BE50" s="522"/>
      <c r="BF50" s="522"/>
      <c r="BG50" s="522"/>
      <c r="BH50" s="522"/>
      <c r="BI50" s="522"/>
      <c r="BJ50" s="806"/>
      <c r="BK50" s="524"/>
      <c r="BL50" s="522"/>
      <c r="BN50" s="343"/>
      <c r="BO50" s="343"/>
      <c r="BP50" s="343"/>
    </row>
    <row r="51" spans="1:68" s="772" customFormat="1" ht="25.5">
      <c r="A51" s="681">
        <v>18</v>
      </c>
      <c r="B51" s="682" t="s">
        <v>85</v>
      </c>
      <c r="C51" s="683" t="s">
        <v>679</v>
      </c>
      <c r="D51" s="682" t="s">
        <v>2037</v>
      </c>
      <c r="E51" s="766"/>
      <c r="F51" s="685" t="s">
        <v>1996</v>
      </c>
      <c r="G51" s="709" t="s">
        <v>1997</v>
      </c>
      <c r="H51" s="709" t="s">
        <v>541</v>
      </c>
      <c r="I51" s="682" t="s">
        <v>541</v>
      </c>
      <c r="J51" s="685">
        <v>181.447</v>
      </c>
      <c r="K51" s="679">
        <v>18</v>
      </c>
      <c r="L51" s="702">
        <v>25</v>
      </c>
      <c r="M51" s="689">
        <v>28</v>
      </c>
      <c r="N51" s="687">
        <v>25</v>
      </c>
      <c r="O51" s="689">
        <v>72</v>
      </c>
      <c r="P51" s="687">
        <v>20</v>
      </c>
      <c r="Q51" s="689">
        <v>9.9999999999999995E-7</v>
      </c>
      <c r="R51" s="689" t="s">
        <v>541</v>
      </c>
      <c r="S51" s="686">
        <v>4.05</v>
      </c>
      <c r="T51" s="686">
        <f t="shared" si="2"/>
        <v>11220.184543019639</v>
      </c>
      <c r="U51" s="686">
        <v>3.3445814263802101</v>
      </c>
      <c r="V51" s="790">
        <f t="shared" si="3"/>
        <v>2210.9627534327196</v>
      </c>
      <c r="W51" s="795"/>
      <c r="X51" s="780">
        <v>0.05</v>
      </c>
      <c r="Y51" s="689">
        <v>7.7000000000000002E-3</v>
      </c>
      <c r="Z51" s="689">
        <v>7.7000000000000002E-3</v>
      </c>
      <c r="AA51" s="689"/>
      <c r="AB51" s="689"/>
      <c r="AC51" s="775"/>
      <c r="AD51" s="690"/>
      <c r="AE51" s="780"/>
      <c r="AF51" s="689"/>
      <c r="AG51" s="682"/>
      <c r="AH51" s="682"/>
      <c r="AI51" s="684"/>
      <c r="AJ51" s="686"/>
      <c r="AK51" s="686"/>
      <c r="AL51" s="686"/>
      <c r="AM51" s="686"/>
      <c r="AN51" s="686"/>
      <c r="AO51" s="686"/>
      <c r="AP51" s="686"/>
      <c r="AQ51" s="686"/>
      <c r="AR51" s="686"/>
      <c r="AS51" s="810"/>
      <c r="AT51" s="709"/>
      <c r="AU51" s="686"/>
      <c r="AV51" s="689"/>
      <c r="AW51" s="686"/>
      <c r="AX51" s="689"/>
      <c r="AY51" s="686"/>
      <c r="AZ51" s="686"/>
      <c r="BA51" s="689"/>
      <c r="BB51" s="684"/>
      <c r="BC51" s="691"/>
      <c r="BD51" s="799"/>
      <c r="BE51" s="799"/>
      <c r="BF51" s="799"/>
      <c r="BG51" s="799"/>
      <c r="BH51" s="799">
        <v>0</v>
      </c>
      <c r="BI51" s="799">
        <v>0</v>
      </c>
      <c r="BJ51" s="795"/>
      <c r="BK51" s="803"/>
      <c r="BL51" s="799"/>
      <c r="BM51" s="802"/>
      <c r="BN51" s="869"/>
      <c r="BO51" s="869">
        <v>0.25</v>
      </c>
      <c r="BP51" s="869">
        <v>0.9</v>
      </c>
    </row>
    <row r="52" spans="1:68" s="772" customFormat="1" ht="63.75">
      <c r="A52" s="681"/>
      <c r="B52" s="692"/>
      <c r="C52" s="683"/>
      <c r="D52" s="682"/>
      <c r="E52" s="767"/>
      <c r="F52" s="693"/>
      <c r="G52" s="693"/>
      <c r="H52" s="693"/>
      <c r="I52" s="692" t="s">
        <v>661</v>
      </c>
      <c r="J52" s="693" t="s">
        <v>2007</v>
      </c>
      <c r="K52" s="694" t="s">
        <v>2040</v>
      </c>
      <c r="L52" s="694" t="s">
        <v>2030</v>
      </c>
      <c r="M52" s="694" t="s">
        <v>2041</v>
      </c>
      <c r="N52" s="694" t="s">
        <v>2030</v>
      </c>
      <c r="O52" s="688" t="s">
        <v>2042</v>
      </c>
      <c r="P52" s="688" t="s">
        <v>2011</v>
      </c>
      <c r="Q52" s="694" t="s">
        <v>2012</v>
      </c>
      <c r="R52" s="694"/>
      <c r="S52" s="694" t="s">
        <v>2043</v>
      </c>
      <c r="T52" s="686"/>
      <c r="U52" s="694" t="s">
        <v>2044</v>
      </c>
      <c r="V52" s="790"/>
      <c r="W52" s="796"/>
      <c r="X52" s="693" t="s">
        <v>2116</v>
      </c>
      <c r="Y52" s="692" t="s">
        <v>2117</v>
      </c>
      <c r="Z52" s="692" t="s">
        <v>2117</v>
      </c>
      <c r="AA52" s="692"/>
      <c r="AB52" s="692"/>
      <c r="AC52" s="776"/>
      <c r="AD52" s="695"/>
      <c r="AE52" s="693"/>
      <c r="AF52" s="692"/>
      <c r="AG52" s="692"/>
      <c r="AH52" s="692"/>
      <c r="AI52" s="695"/>
      <c r="AJ52" s="696" t="s">
        <v>2141</v>
      </c>
      <c r="AK52" s="697" t="s">
        <v>2141</v>
      </c>
      <c r="AL52" s="697" t="s">
        <v>2141</v>
      </c>
      <c r="AM52" s="697" t="s">
        <v>2141</v>
      </c>
      <c r="AN52" s="697" t="s">
        <v>2141</v>
      </c>
      <c r="AO52" s="697" t="s">
        <v>2141</v>
      </c>
      <c r="AP52" s="697" t="s">
        <v>2141</v>
      </c>
      <c r="AQ52" s="697" t="s">
        <v>2141</v>
      </c>
      <c r="AR52" s="697" t="s">
        <v>2141</v>
      </c>
      <c r="AS52" s="678"/>
      <c r="AT52" s="719"/>
      <c r="AU52" s="697"/>
      <c r="AV52" s="698"/>
      <c r="AW52" s="699"/>
      <c r="AX52" s="698"/>
      <c r="AY52" s="697"/>
      <c r="AZ52" s="699"/>
      <c r="BA52" s="698"/>
      <c r="BB52" s="695"/>
      <c r="BC52" s="871" t="s">
        <v>2141</v>
      </c>
      <c r="BD52" s="871" t="s">
        <v>2141</v>
      </c>
      <c r="BE52" s="871" t="s">
        <v>2141</v>
      </c>
      <c r="BF52" s="871" t="s">
        <v>2141</v>
      </c>
      <c r="BG52" s="871" t="s">
        <v>2141</v>
      </c>
      <c r="BH52" s="872" t="s">
        <v>2158</v>
      </c>
      <c r="BI52" s="872" t="s">
        <v>2158</v>
      </c>
      <c r="BJ52" s="806"/>
      <c r="BK52" s="804"/>
      <c r="BL52" s="800"/>
      <c r="BM52" s="802"/>
      <c r="BN52" s="869" t="s">
        <v>2146</v>
      </c>
      <c r="BO52" s="869" t="s">
        <v>2145</v>
      </c>
      <c r="BP52" s="873" t="s">
        <v>2144</v>
      </c>
    </row>
    <row r="53" spans="1:68" ht="25.5">
      <c r="A53" s="149">
        <v>19</v>
      </c>
      <c r="B53" s="150" t="s">
        <v>86</v>
      </c>
      <c r="C53" s="151" t="s">
        <v>679</v>
      </c>
      <c r="D53" s="150" t="s">
        <v>2038</v>
      </c>
      <c r="E53" s="767"/>
      <c r="F53" s="260"/>
      <c r="G53" s="260"/>
      <c r="H53" s="260"/>
      <c r="I53" s="259" t="s">
        <v>541</v>
      </c>
      <c r="J53" s="260">
        <v>181.447</v>
      </c>
      <c r="K53" s="258">
        <v>29</v>
      </c>
      <c r="L53" s="271">
        <v>15</v>
      </c>
      <c r="M53" s="264">
        <v>11.96</v>
      </c>
      <c r="N53" s="262">
        <v>10</v>
      </c>
      <c r="O53" s="264">
        <v>131</v>
      </c>
      <c r="P53" s="262">
        <v>10</v>
      </c>
      <c r="Q53" s="264">
        <v>9.9999999999999995E-7</v>
      </c>
      <c r="R53" s="264"/>
      <c r="S53" s="261">
        <v>3.98</v>
      </c>
      <c r="T53" s="261">
        <f t="shared" si="2"/>
        <v>9549.9258602143691</v>
      </c>
      <c r="U53" s="261">
        <v>3.3151000000000002</v>
      </c>
      <c r="V53" s="519">
        <f t="shared" si="3"/>
        <v>2065.855781922724</v>
      </c>
      <c r="W53" s="795"/>
      <c r="X53" s="511"/>
      <c r="Y53" s="264"/>
      <c r="Z53" s="264"/>
      <c r="AA53" s="264"/>
      <c r="AB53" s="264"/>
      <c r="AC53" s="499"/>
      <c r="AD53" s="690"/>
      <c r="AE53" s="511">
        <v>1.6000000000000001E-3</v>
      </c>
      <c r="AF53" s="264">
        <v>7.0000000000000001E-3</v>
      </c>
      <c r="AG53" s="259"/>
      <c r="AH53" s="259"/>
      <c r="AI53" s="684"/>
      <c r="AJ53" s="153"/>
      <c r="AK53" s="153"/>
      <c r="AL53" s="153"/>
      <c r="AM53" s="153"/>
      <c r="AN53" s="153"/>
      <c r="AO53" s="153"/>
      <c r="AP53" s="153"/>
      <c r="AQ53" s="153"/>
      <c r="AR53" s="153"/>
      <c r="AS53" s="810"/>
      <c r="AT53" s="173"/>
      <c r="AU53" s="153"/>
      <c r="AV53" s="156"/>
      <c r="AW53" s="153"/>
      <c r="AX53" s="156"/>
      <c r="AY53" s="153"/>
      <c r="AZ53" s="153"/>
      <c r="BA53" s="156"/>
      <c r="BB53" s="684"/>
      <c r="BC53" s="157"/>
      <c r="BD53" s="521"/>
      <c r="BE53" s="521"/>
      <c r="BF53" s="521"/>
      <c r="BG53" s="521"/>
      <c r="BH53" s="521"/>
      <c r="BI53" s="521"/>
      <c r="BJ53" s="795"/>
      <c r="BK53" s="523"/>
      <c r="BL53" s="521"/>
      <c r="BN53" s="343"/>
      <c r="BO53" s="343"/>
      <c r="BP53" s="343"/>
    </row>
    <row r="54" spans="1:68" ht="242.25">
      <c r="A54" s="149"/>
      <c r="B54" s="158"/>
      <c r="C54" s="151"/>
      <c r="D54" s="150"/>
      <c r="E54" s="767"/>
      <c r="F54" s="266"/>
      <c r="G54" s="266"/>
      <c r="H54" s="266"/>
      <c r="I54" s="265" t="s">
        <v>661</v>
      </c>
      <c r="J54" s="266" t="s">
        <v>680</v>
      </c>
      <c r="K54" s="265" t="s">
        <v>683</v>
      </c>
      <c r="L54" s="267"/>
      <c r="M54" s="267" t="s">
        <v>684</v>
      </c>
      <c r="N54" s="267"/>
      <c r="O54" s="263" t="s">
        <v>654</v>
      </c>
      <c r="P54" s="267"/>
      <c r="Q54" s="267" t="s">
        <v>658</v>
      </c>
      <c r="R54" s="267"/>
      <c r="S54" s="267" t="s">
        <v>681</v>
      </c>
      <c r="T54" s="261"/>
      <c r="U54" s="267" t="s">
        <v>675</v>
      </c>
      <c r="V54" s="519"/>
      <c r="W54" s="796"/>
      <c r="X54" s="266"/>
      <c r="Y54" s="265"/>
      <c r="Z54" s="265"/>
      <c r="AA54" s="265"/>
      <c r="AB54" s="265"/>
      <c r="AC54" s="500"/>
      <c r="AD54" s="695"/>
      <c r="AE54" s="266" t="s">
        <v>682</v>
      </c>
      <c r="AF54" s="265" t="s">
        <v>682</v>
      </c>
      <c r="AG54" s="265"/>
      <c r="AH54" s="265"/>
      <c r="AI54" s="695"/>
      <c r="AJ54" s="161"/>
      <c r="AK54" s="161"/>
      <c r="AL54" s="161"/>
      <c r="AM54" s="161"/>
      <c r="AN54" s="161"/>
      <c r="AO54" s="161"/>
      <c r="AP54" s="161"/>
      <c r="AQ54" s="161"/>
      <c r="AR54" s="161"/>
      <c r="AS54" s="678"/>
      <c r="AT54" s="185"/>
      <c r="AU54" s="162"/>
      <c r="AV54" s="163"/>
      <c r="AW54" s="164"/>
      <c r="AX54" s="163"/>
      <c r="AY54" s="162"/>
      <c r="AZ54" s="164"/>
      <c r="BA54" s="163"/>
      <c r="BB54" s="695"/>
      <c r="BC54" s="165"/>
      <c r="BD54" s="522"/>
      <c r="BE54" s="522"/>
      <c r="BF54" s="522"/>
      <c r="BG54" s="522"/>
      <c r="BH54" s="522"/>
      <c r="BI54" s="522"/>
      <c r="BJ54" s="806"/>
      <c r="BK54" s="524"/>
      <c r="BL54" s="522"/>
      <c r="BN54" s="343"/>
      <c r="BO54" s="343"/>
      <c r="BP54" s="343"/>
    </row>
    <row r="55" spans="1:68" s="772" customFormat="1" ht="25.5">
      <c r="A55" s="681">
        <v>20</v>
      </c>
      <c r="B55" s="682" t="s">
        <v>87</v>
      </c>
      <c r="C55" s="683" t="s">
        <v>679</v>
      </c>
      <c r="D55" s="682" t="s">
        <v>2462</v>
      </c>
      <c r="E55" s="766"/>
      <c r="F55" s="685" t="s">
        <v>1996</v>
      </c>
      <c r="G55" s="709" t="s">
        <v>1997</v>
      </c>
      <c r="H55" s="709" t="s">
        <v>541</v>
      </c>
      <c r="I55" s="682" t="s">
        <v>541</v>
      </c>
      <c r="J55" s="685">
        <v>181.447</v>
      </c>
      <c r="K55" s="679">
        <v>6.01</v>
      </c>
      <c r="L55" s="702">
        <v>25</v>
      </c>
      <c r="M55" s="686">
        <f>0.24*133.3224</f>
        <v>31.997375999999996</v>
      </c>
      <c r="N55" s="687">
        <v>25</v>
      </c>
      <c r="O55" s="689">
        <v>192.5</v>
      </c>
      <c r="P55" s="687">
        <v>20</v>
      </c>
      <c r="Q55" s="689">
        <v>9.9999999999999995E-7</v>
      </c>
      <c r="R55" s="689" t="s">
        <v>541</v>
      </c>
      <c r="S55" s="686">
        <v>4.1900000000000004</v>
      </c>
      <c r="T55" s="686">
        <f t="shared" si="2"/>
        <v>15488.166189124853</v>
      </c>
      <c r="U55" s="686">
        <v>3.5151221876456602</v>
      </c>
      <c r="V55" s="790">
        <f t="shared" si="3"/>
        <v>3274.3280430586583</v>
      </c>
      <c r="W55" s="680"/>
      <c r="X55" s="780">
        <v>3.5999999999999999E-3</v>
      </c>
      <c r="Y55" s="689">
        <v>7.7000000000000002E-3</v>
      </c>
      <c r="Z55" s="689">
        <v>7.7000000000000002E-3</v>
      </c>
      <c r="AA55" s="689"/>
      <c r="AB55" s="689"/>
      <c r="AC55" s="775"/>
      <c r="AD55" s="690"/>
      <c r="AE55" s="780"/>
      <c r="AF55" s="689"/>
      <c r="AG55" s="682"/>
      <c r="AH55" s="682"/>
      <c r="AI55" s="684"/>
      <c r="AJ55" s="686"/>
      <c r="AK55" s="686"/>
      <c r="AL55" s="686"/>
      <c r="AM55" s="686"/>
      <c r="AN55" s="686"/>
      <c r="AO55" s="686"/>
      <c r="AP55" s="686"/>
      <c r="AQ55" s="686"/>
      <c r="AR55" s="686"/>
      <c r="AS55" s="810"/>
      <c r="AT55" s="709"/>
      <c r="AU55" s="686"/>
      <c r="AV55" s="689"/>
      <c r="AW55" s="686"/>
      <c r="AX55" s="689"/>
      <c r="AY55" s="686"/>
      <c r="AZ55" s="686"/>
      <c r="BA55" s="689"/>
      <c r="BB55" s="684"/>
      <c r="BC55" s="691"/>
      <c r="BD55" s="799"/>
      <c r="BE55" s="799"/>
      <c r="BF55" s="799"/>
      <c r="BG55" s="799"/>
      <c r="BH55" s="799">
        <v>0</v>
      </c>
      <c r="BI55" s="799">
        <v>0</v>
      </c>
      <c r="BJ55" s="795"/>
      <c r="BK55" s="803"/>
      <c r="BL55" s="799"/>
      <c r="BM55" s="802"/>
      <c r="BN55" s="869"/>
      <c r="BO55" s="869">
        <v>0.25</v>
      </c>
      <c r="BP55" s="869">
        <v>0.9</v>
      </c>
    </row>
    <row r="56" spans="1:68" s="772" customFormat="1" ht="63.75">
      <c r="A56" s="681"/>
      <c r="B56" s="692"/>
      <c r="C56" s="683"/>
      <c r="D56" s="682"/>
      <c r="E56" s="767"/>
      <c r="F56" s="693"/>
      <c r="G56" s="693"/>
      <c r="H56" s="693"/>
      <c r="I56" s="705" t="s">
        <v>541</v>
      </c>
      <c r="J56" s="693" t="s">
        <v>2007</v>
      </c>
      <c r="K56" s="694" t="s">
        <v>2045</v>
      </c>
      <c r="L56" s="694" t="s">
        <v>2030</v>
      </c>
      <c r="M56" s="694" t="s">
        <v>2046</v>
      </c>
      <c r="N56" s="694" t="s">
        <v>2030</v>
      </c>
      <c r="O56" s="688" t="s">
        <v>2047</v>
      </c>
      <c r="P56" s="688" t="s">
        <v>2011</v>
      </c>
      <c r="Q56" s="694" t="s">
        <v>2012</v>
      </c>
      <c r="R56" s="694"/>
      <c r="S56" s="694" t="s">
        <v>2048</v>
      </c>
      <c r="T56" s="686"/>
      <c r="U56" s="694" t="s">
        <v>2049</v>
      </c>
      <c r="V56" s="790"/>
      <c r="W56" s="796"/>
      <c r="X56" s="693" t="s">
        <v>2118</v>
      </c>
      <c r="Y56" s="692" t="s">
        <v>2119</v>
      </c>
      <c r="Z56" s="692" t="s">
        <v>2119</v>
      </c>
      <c r="AA56" s="692"/>
      <c r="AB56" s="692"/>
      <c r="AC56" s="776"/>
      <c r="AD56" s="695"/>
      <c r="AE56" s="693"/>
      <c r="AF56" s="692"/>
      <c r="AG56" s="692"/>
      <c r="AH56" s="692"/>
      <c r="AI56" s="695"/>
      <c r="AJ56" s="696" t="s">
        <v>2141</v>
      </c>
      <c r="AK56" s="697" t="s">
        <v>2141</v>
      </c>
      <c r="AL56" s="697" t="s">
        <v>2141</v>
      </c>
      <c r="AM56" s="697" t="s">
        <v>2141</v>
      </c>
      <c r="AN56" s="697" t="s">
        <v>2141</v>
      </c>
      <c r="AO56" s="697" t="s">
        <v>2141</v>
      </c>
      <c r="AP56" s="697" t="s">
        <v>2141</v>
      </c>
      <c r="AQ56" s="697" t="s">
        <v>2141</v>
      </c>
      <c r="AR56" s="697" t="s">
        <v>2141</v>
      </c>
      <c r="AS56" s="678"/>
      <c r="AT56" s="719"/>
      <c r="AU56" s="697"/>
      <c r="AV56" s="698"/>
      <c r="AW56" s="699"/>
      <c r="AX56" s="698"/>
      <c r="AY56" s="697"/>
      <c r="AZ56" s="699"/>
      <c r="BA56" s="698"/>
      <c r="BB56" s="695"/>
      <c r="BC56" s="871" t="s">
        <v>2141</v>
      </c>
      <c r="BD56" s="871" t="s">
        <v>2141</v>
      </c>
      <c r="BE56" s="871" t="s">
        <v>2141</v>
      </c>
      <c r="BF56" s="871" t="s">
        <v>2141</v>
      </c>
      <c r="BG56" s="871" t="s">
        <v>2141</v>
      </c>
      <c r="BH56" s="872" t="s">
        <v>2158</v>
      </c>
      <c r="BI56" s="872" t="s">
        <v>2158</v>
      </c>
      <c r="BJ56" s="806"/>
      <c r="BK56" s="804"/>
      <c r="BL56" s="800"/>
      <c r="BM56" s="802"/>
      <c r="BN56" s="900" t="s">
        <v>2141</v>
      </c>
      <c r="BO56" s="901" t="s">
        <v>2147</v>
      </c>
      <c r="BP56" s="902" t="s">
        <v>2144</v>
      </c>
    </row>
    <row r="57" spans="1:68" ht="15.75">
      <c r="A57" s="149">
        <v>21</v>
      </c>
      <c r="B57" s="150" t="s">
        <v>115</v>
      </c>
      <c r="C57" s="151" t="s">
        <v>685</v>
      </c>
      <c r="D57" s="150"/>
      <c r="E57" s="767"/>
      <c r="F57" s="260"/>
      <c r="G57" s="260"/>
      <c r="H57" s="260"/>
      <c r="I57" s="259" t="s">
        <v>541</v>
      </c>
      <c r="J57" s="260">
        <v>215.892</v>
      </c>
      <c r="K57" s="258">
        <v>2.11</v>
      </c>
      <c r="L57" s="271">
        <v>15</v>
      </c>
      <c r="M57" s="264">
        <v>6.99</v>
      </c>
      <c r="N57" s="262">
        <v>20</v>
      </c>
      <c r="O57" s="264">
        <v>58.5</v>
      </c>
      <c r="P57" s="262">
        <v>20</v>
      </c>
      <c r="Q57" s="264">
        <v>9.9999999999999995E-7</v>
      </c>
      <c r="R57" s="264"/>
      <c r="S57" s="259">
        <v>4.55</v>
      </c>
      <c r="T57" s="261">
        <f t="shared" si="2"/>
        <v>35481.33892335758</v>
      </c>
      <c r="U57" s="259">
        <v>3.7050000000000001</v>
      </c>
      <c r="V57" s="519">
        <f t="shared" si="3"/>
        <v>5069.9070827470441</v>
      </c>
      <c r="W57" s="795"/>
      <c r="X57" s="511"/>
      <c r="Y57" s="264"/>
      <c r="Z57" s="264"/>
      <c r="AA57" s="264"/>
      <c r="AB57" s="264"/>
      <c r="AC57" s="499"/>
      <c r="AD57" s="690"/>
      <c r="AE57" s="511">
        <v>3.3999999999999998E-3</v>
      </c>
      <c r="AF57" s="264"/>
      <c r="AG57" s="259"/>
      <c r="AH57" s="259"/>
      <c r="AI57" s="684"/>
      <c r="AJ57" s="153"/>
      <c r="AK57" s="153"/>
      <c r="AL57" s="153"/>
      <c r="AM57" s="153"/>
      <c r="AN57" s="153"/>
      <c r="AO57" s="153"/>
      <c r="AP57" s="153"/>
      <c r="AQ57" s="153"/>
      <c r="AR57" s="153"/>
      <c r="AS57" s="810"/>
      <c r="AT57" s="173"/>
      <c r="AU57" s="153"/>
      <c r="AV57" s="156"/>
      <c r="AW57" s="153"/>
      <c r="AX57" s="156"/>
      <c r="AY57" s="153"/>
      <c r="AZ57" s="153"/>
      <c r="BA57" s="156"/>
      <c r="BB57" s="684"/>
      <c r="BC57" s="157"/>
      <c r="BD57" s="521"/>
      <c r="BE57" s="521"/>
      <c r="BF57" s="521"/>
      <c r="BG57" s="521"/>
      <c r="BH57" s="521"/>
      <c r="BI57" s="521"/>
      <c r="BJ57" s="795"/>
      <c r="BK57" s="523"/>
      <c r="BL57" s="521"/>
      <c r="BN57" s="343"/>
      <c r="BO57" s="343"/>
      <c r="BP57" s="343"/>
    </row>
    <row r="58" spans="1:68" ht="242.25">
      <c r="A58" s="149"/>
      <c r="B58" s="158"/>
      <c r="C58" s="151"/>
      <c r="D58" s="150"/>
      <c r="E58" s="767"/>
      <c r="F58" s="266"/>
      <c r="G58" s="266"/>
      <c r="H58" s="266"/>
      <c r="I58" s="274" t="s">
        <v>541</v>
      </c>
      <c r="J58" s="266" t="s">
        <v>680</v>
      </c>
      <c r="K58" s="267" t="s">
        <v>686</v>
      </c>
      <c r="L58" s="267"/>
      <c r="M58" s="267" t="s">
        <v>687</v>
      </c>
      <c r="N58" s="267"/>
      <c r="O58" s="263" t="s">
        <v>654</v>
      </c>
      <c r="P58" s="283"/>
      <c r="Q58" s="267" t="s">
        <v>658</v>
      </c>
      <c r="R58" s="267"/>
      <c r="S58" s="267" t="s">
        <v>681</v>
      </c>
      <c r="T58" s="261"/>
      <c r="U58" s="265" t="s">
        <v>688</v>
      </c>
      <c r="V58" s="519"/>
      <c r="W58" s="796"/>
      <c r="X58" s="266"/>
      <c r="Y58" s="265"/>
      <c r="Z58" s="265"/>
      <c r="AA58" s="265"/>
      <c r="AB58" s="265"/>
      <c r="AC58" s="500"/>
      <c r="AD58" s="695"/>
      <c r="AE58" s="266" t="s">
        <v>682</v>
      </c>
      <c r="AF58" s="265"/>
      <c r="AG58" s="265"/>
      <c r="AH58" s="265"/>
      <c r="AI58" s="695"/>
      <c r="AJ58" s="161"/>
      <c r="AK58" s="161"/>
      <c r="AL58" s="161"/>
      <c r="AM58" s="161"/>
      <c r="AN58" s="161"/>
      <c r="AO58" s="161"/>
      <c r="AP58" s="161"/>
      <c r="AQ58" s="161"/>
      <c r="AR58" s="161"/>
      <c r="AS58" s="678"/>
      <c r="AT58" s="185"/>
      <c r="AU58" s="162"/>
      <c r="AV58" s="163"/>
      <c r="AW58" s="164"/>
      <c r="AX58" s="163"/>
      <c r="AY58" s="162"/>
      <c r="AZ58" s="164"/>
      <c r="BA58" s="163"/>
      <c r="BB58" s="695"/>
      <c r="BC58" s="165"/>
      <c r="BD58" s="522"/>
      <c r="BE58" s="522"/>
      <c r="BF58" s="522"/>
      <c r="BG58" s="522"/>
      <c r="BH58" s="522"/>
      <c r="BI58" s="522"/>
      <c r="BJ58" s="806"/>
      <c r="BK58" s="524"/>
      <c r="BL58" s="522"/>
      <c r="BN58" s="343"/>
      <c r="BO58" s="343"/>
      <c r="BP58" s="343"/>
    </row>
    <row r="59" spans="1:68" ht="15.75">
      <c r="A59" s="149">
        <v>22</v>
      </c>
      <c r="B59" s="150" t="s">
        <v>116</v>
      </c>
      <c r="C59" s="151" t="s">
        <v>689</v>
      </c>
      <c r="D59" s="150"/>
      <c r="E59" s="766"/>
      <c r="F59" s="152" t="s">
        <v>1996</v>
      </c>
      <c r="G59" s="173" t="s">
        <v>541</v>
      </c>
      <c r="H59" s="173" t="s">
        <v>541</v>
      </c>
      <c r="I59" s="170" t="s">
        <v>541</v>
      </c>
      <c r="J59" s="152">
        <v>215.892</v>
      </c>
      <c r="K59" s="148">
        <v>0.32200000000000001</v>
      </c>
      <c r="L59" s="167">
        <v>15</v>
      </c>
      <c r="M59" s="156">
        <v>0.155</v>
      </c>
      <c r="N59" s="154">
        <v>17</v>
      </c>
      <c r="O59" s="156">
        <v>101</v>
      </c>
      <c r="P59" s="154">
        <v>25</v>
      </c>
      <c r="Q59" s="156">
        <v>9.9999999999999995E-7</v>
      </c>
      <c r="R59" s="156"/>
      <c r="S59" s="153">
        <v>4.51</v>
      </c>
      <c r="T59" s="153">
        <f t="shared" si="2"/>
        <v>32359.365692962871</v>
      </c>
      <c r="U59" s="153">
        <v>3.2269000000000001</v>
      </c>
      <c r="V59" s="520">
        <f t="shared" si="3"/>
        <v>1686.1647269094919</v>
      </c>
      <c r="W59" s="690"/>
      <c r="X59" s="512"/>
      <c r="Y59" s="156"/>
      <c r="Z59" s="156"/>
      <c r="AA59" s="156"/>
      <c r="AB59" s="156"/>
      <c r="AC59" s="501"/>
      <c r="AD59" s="690"/>
      <c r="AE59" s="512">
        <v>2.1000000000000001E-4</v>
      </c>
      <c r="AF59" s="156"/>
      <c r="AG59" s="156"/>
      <c r="AH59" s="156"/>
      <c r="AI59" s="690"/>
      <c r="AJ59" s="153"/>
      <c r="AK59" s="153"/>
      <c r="AL59" s="153"/>
      <c r="AM59" s="153"/>
      <c r="AN59" s="153"/>
      <c r="AO59" s="153"/>
      <c r="AP59" s="153"/>
      <c r="AQ59" s="153"/>
      <c r="AR59" s="153"/>
      <c r="AS59" s="810"/>
      <c r="AT59" s="173"/>
      <c r="AU59" s="153"/>
      <c r="AV59" s="156"/>
      <c r="AW59" s="153"/>
      <c r="AX59" s="156"/>
      <c r="AY59" s="153"/>
      <c r="AZ59" s="153"/>
      <c r="BA59" s="156"/>
      <c r="BB59" s="684"/>
      <c r="BC59" s="157"/>
      <c r="BD59" s="521"/>
      <c r="BE59" s="521"/>
      <c r="BF59" s="521"/>
      <c r="BG59" s="521"/>
      <c r="BH59" s="521"/>
      <c r="BI59" s="521"/>
      <c r="BJ59" s="795"/>
      <c r="BK59" s="523"/>
      <c r="BL59" s="521"/>
      <c r="BN59" s="343"/>
      <c r="BO59" s="343"/>
      <c r="BP59" s="343"/>
    </row>
    <row r="60" spans="1:68" ht="242.25">
      <c r="A60" s="149"/>
      <c r="B60" s="158"/>
      <c r="C60" s="172"/>
      <c r="D60" s="679"/>
      <c r="E60" s="766"/>
      <c r="F60" s="159"/>
      <c r="G60" s="159"/>
      <c r="H60" s="159"/>
      <c r="I60" s="170" t="s">
        <v>541</v>
      </c>
      <c r="J60" s="159" t="s">
        <v>680</v>
      </c>
      <c r="K60" s="160" t="s">
        <v>690</v>
      </c>
      <c r="L60" s="160"/>
      <c r="M60" s="160" t="s">
        <v>691</v>
      </c>
      <c r="N60" s="160"/>
      <c r="O60" s="155" t="s">
        <v>654</v>
      </c>
      <c r="P60" s="160"/>
      <c r="Q60" s="160" t="s">
        <v>658</v>
      </c>
      <c r="R60" s="160"/>
      <c r="S60" s="160" t="s">
        <v>681</v>
      </c>
      <c r="T60" s="153"/>
      <c r="U60" s="158" t="s">
        <v>692</v>
      </c>
      <c r="V60" s="520"/>
      <c r="W60" s="684"/>
      <c r="X60" s="159"/>
      <c r="Y60" s="158"/>
      <c r="Z60" s="158"/>
      <c r="AA60" s="158"/>
      <c r="AB60" s="158"/>
      <c r="AC60" s="502"/>
      <c r="AD60" s="695"/>
      <c r="AE60" s="159" t="s">
        <v>682</v>
      </c>
      <c r="AF60" s="161"/>
      <c r="AG60" s="163"/>
      <c r="AH60" s="163"/>
      <c r="AI60" s="708"/>
      <c r="AJ60" s="161"/>
      <c r="AK60" s="161"/>
      <c r="AL60" s="161"/>
      <c r="AM60" s="161"/>
      <c r="AN60" s="161"/>
      <c r="AO60" s="161"/>
      <c r="AP60" s="161"/>
      <c r="AQ60" s="161"/>
      <c r="AR60" s="161"/>
      <c r="AS60" s="678"/>
      <c r="AT60" s="185"/>
      <c r="AU60" s="162"/>
      <c r="AV60" s="163"/>
      <c r="AW60" s="164"/>
      <c r="AX60" s="163"/>
      <c r="AY60" s="162"/>
      <c r="AZ60" s="164"/>
      <c r="BA60" s="163"/>
      <c r="BB60" s="695"/>
      <c r="BC60" s="165"/>
      <c r="BD60" s="522"/>
      <c r="BE60" s="522"/>
      <c r="BF60" s="522"/>
      <c r="BG60" s="522"/>
      <c r="BH60" s="522"/>
      <c r="BI60" s="522"/>
      <c r="BJ60" s="806"/>
      <c r="BK60" s="524"/>
      <c r="BL60" s="522"/>
      <c r="BN60" s="343"/>
      <c r="BO60" s="343"/>
      <c r="BP60" s="343"/>
    </row>
    <row r="61" spans="1:68" ht="25.5">
      <c r="A61" s="149">
        <v>23</v>
      </c>
      <c r="B61" s="156" t="s">
        <v>117</v>
      </c>
      <c r="C61" s="151" t="s">
        <v>693</v>
      </c>
      <c r="D61" s="682" t="s">
        <v>2521</v>
      </c>
      <c r="E61" s="767"/>
      <c r="F61" s="281"/>
      <c r="G61" s="281"/>
      <c r="H61" s="281"/>
      <c r="I61" s="264" t="s">
        <v>541</v>
      </c>
      <c r="J61" s="281">
        <v>250.33699999999999</v>
      </c>
      <c r="K61" s="270">
        <v>0.254</v>
      </c>
      <c r="L61" s="271">
        <v>15</v>
      </c>
      <c r="M61" s="270">
        <v>3.2000000000000001E-2</v>
      </c>
      <c r="N61" s="271">
        <v>10</v>
      </c>
      <c r="O61" s="276">
        <v>52.6</v>
      </c>
      <c r="P61" s="271">
        <v>20</v>
      </c>
      <c r="Q61" s="264">
        <v>9.9999999999999995E-7</v>
      </c>
      <c r="R61" s="264"/>
      <c r="S61" s="261">
        <v>5.03</v>
      </c>
      <c r="T61" s="261">
        <f t="shared" si="2"/>
        <v>107151.93052376082</v>
      </c>
      <c r="U61" s="261">
        <v>4.3899999999999997</v>
      </c>
      <c r="V61" s="519">
        <f t="shared" si="3"/>
        <v>24547.089156850321</v>
      </c>
      <c r="W61" s="684"/>
      <c r="X61" s="511"/>
      <c r="Y61" s="264"/>
      <c r="Z61" s="264"/>
      <c r="AA61" s="264"/>
      <c r="AB61" s="264"/>
      <c r="AC61" s="499"/>
      <c r="AD61" s="690"/>
      <c r="AE61" s="511">
        <v>8.0000000000000004E-4</v>
      </c>
      <c r="AF61" s="259"/>
      <c r="AG61" s="264"/>
      <c r="AH61" s="264"/>
      <c r="AI61" s="690"/>
      <c r="AJ61" s="153"/>
      <c r="AK61" s="153"/>
      <c r="AL61" s="153"/>
      <c r="AM61" s="153"/>
      <c r="AN61" s="153"/>
      <c r="AO61" s="153"/>
      <c r="AP61" s="153"/>
      <c r="AQ61" s="153"/>
      <c r="AR61" s="153"/>
      <c r="AS61" s="810"/>
      <c r="AT61" s="173"/>
      <c r="AU61" s="153"/>
      <c r="AV61" s="156"/>
      <c r="AW61" s="153"/>
      <c r="AX61" s="156"/>
      <c r="AY61" s="153"/>
      <c r="AZ61" s="153"/>
      <c r="BA61" s="156"/>
      <c r="BB61" s="684"/>
      <c r="BC61" s="157"/>
      <c r="BD61" s="521"/>
      <c r="BE61" s="521"/>
      <c r="BF61" s="521"/>
      <c r="BG61" s="521"/>
      <c r="BH61" s="521"/>
      <c r="BI61" s="521"/>
      <c r="BJ61" s="795"/>
      <c r="BK61" s="523"/>
      <c r="BL61" s="521"/>
      <c r="BN61" s="343"/>
      <c r="BO61" s="343"/>
      <c r="BP61" s="343"/>
    </row>
    <row r="62" spans="1:68" ht="165.75">
      <c r="A62" s="149"/>
      <c r="B62" s="158"/>
      <c r="C62" s="151"/>
      <c r="D62" s="682"/>
      <c r="E62" s="767"/>
      <c r="F62" s="266"/>
      <c r="G62" s="266"/>
      <c r="H62" s="266"/>
      <c r="I62" s="274" t="s">
        <v>541</v>
      </c>
      <c r="J62" s="266" t="s">
        <v>694</v>
      </c>
      <c r="K62" s="267" t="s">
        <v>695</v>
      </c>
      <c r="L62" s="267"/>
      <c r="M62" s="267" t="s">
        <v>696</v>
      </c>
      <c r="N62" s="267"/>
      <c r="O62" s="263" t="s">
        <v>654</v>
      </c>
      <c r="P62" s="273"/>
      <c r="Q62" s="265" t="s">
        <v>697</v>
      </c>
      <c r="R62" s="265"/>
      <c r="S62" s="267" t="s">
        <v>681</v>
      </c>
      <c r="T62" s="261"/>
      <c r="U62" s="265" t="s">
        <v>698</v>
      </c>
      <c r="V62" s="519"/>
      <c r="W62" s="695"/>
      <c r="X62" s="266"/>
      <c r="Y62" s="265"/>
      <c r="Z62" s="265"/>
      <c r="AA62" s="265"/>
      <c r="AB62" s="265"/>
      <c r="AC62" s="500"/>
      <c r="AD62" s="695"/>
      <c r="AE62" s="266" t="s">
        <v>699</v>
      </c>
      <c r="AF62" s="265"/>
      <c r="AG62" s="265"/>
      <c r="AH62" s="265"/>
      <c r="AI62" s="695"/>
      <c r="AJ62" s="161"/>
      <c r="AK62" s="161"/>
      <c r="AL62" s="161"/>
      <c r="AM62" s="161"/>
      <c r="AN62" s="161"/>
      <c r="AO62" s="161"/>
      <c r="AP62" s="161"/>
      <c r="AQ62" s="161"/>
      <c r="AR62" s="161"/>
      <c r="AS62" s="678"/>
      <c r="AT62" s="185"/>
      <c r="AU62" s="162"/>
      <c r="AV62" s="163"/>
      <c r="AW62" s="164"/>
      <c r="AX62" s="163"/>
      <c r="AY62" s="162"/>
      <c r="AZ62" s="164"/>
      <c r="BA62" s="163"/>
      <c r="BB62" s="695"/>
      <c r="BC62" s="165"/>
      <c r="BD62" s="522"/>
      <c r="BE62" s="522"/>
      <c r="BF62" s="522"/>
      <c r="BG62" s="522"/>
      <c r="BH62" s="522"/>
      <c r="BI62" s="522"/>
      <c r="BJ62" s="806"/>
      <c r="BK62" s="524"/>
      <c r="BL62" s="522"/>
      <c r="BN62" s="343"/>
      <c r="BO62" s="343"/>
      <c r="BP62" s="343"/>
    </row>
    <row r="63" spans="1:68" ht="25.5">
      <c r="A63" s="149">
        <v>24</v>
      </c>
      <c r="B63" s="150" t="s">
        <v>118</v>
      </c>
      <c r="C63" s="151" t="s">
        <v>700</v>
      </c>
      <c r="D63" s="682" t="s">
        <v>2522</v>
      </c>
      <c r="E63" s="767"/>
      <c r="F63" s="281"/>
      <c r="G63" s="281"/>
      <c r="H63" s="281"/>
      <c r="I63" s="259" t="s">
        <v>541</v>
      </c>
      <c r="J63" s="281">
        <v>284.78199999999998</v>
      </c>
      <c r="K63" s="261">
        <v>9.2099999999999994E-3</v>
      </c>
      <c r="L63" s="262">
        <v>15</v>
      </c>
      <c r="M63" s="264">
        <v>3.5300000000000002E-4</v>
      </c>
      <c r="N63" s="262">
        <v>10</v>
      </c>
      <c r="O63" s="264">
        <v>35.1</v>
      </c>
      <c r="P63" s="262">
        <v>20</v>
      </c>
      <c r="Q63" s="264">
        <v>9.9999999999999995E-7</v>
      </c>
      <c r="R63" s="264"/>
      <c r="S63" s="261">
        <v>5.47</v>
      </c>
      <c r="T63" s="261">
        <f t="shared" si="2"/>
        <v>295120.92266663886</v>
      </c>
      <c r="U63" s="261">
        <v>4.0442</v>
      </c>
      <c r="V63" s="519">
        <f t="shared" si="3"/>
        <v>11071.335204255221</v>
      </c>
      <c r="W63" s="684"/>
      <c r="X63" s="511"/>
      <c r="Y63" s="264"/>
      <c r="Z63" s="264"/>
      <c r="AA63" s="264"/>
      <c r="AB63" s="264"/>
      <c r="AC63" s="499"/>
      <c r="AD63" s="690"/>
      <c r="AE63" s="511">
        <v>5.0000000000000002E-5</v>
      </c>
      <c r="AF63" s="259"/>
      <c r="AG63" s="264">
        <f>0.00001/1.8</f>
        <v>5.5555555555555558E-6</v>
      </c>
      <c r="AH63" s="264">
        <f>(0.00001/0.00051)*0.001</f>
        <v>1.9607843137254903E-5</v>
      </c>
      <c r="AI63" s="690"/>
      <c r="AJ63" s="153"/>
      <c r="AK63" s="153"/>
      <c r="AL63" s="153"/>
      <c r="AM63" s="153"/>
      <c r="AN63" s="153"/>
      <c r="AO63" s="153"/>
      <c r="AP63" s="153"/>
      <c r="AQ63" s="153"/>
      <c r="AR63" s="153"/>
      <c r="AS63" s="810"/>
      <c r="AT63" s="173"/>
      <c r="AU63" s="153"/>
      <c r="AV63" s="156"/>
      <c r="AW63" s="153"/>
      <c r="AX63" s="156"/>
      <c r="AY63" s="153"/>
      <c r="AZ63" s="153"/>
      <c r="BA63" s="156"/>
      <c r="BB63" s="684"/>
      <c r="BC63" s="157"/>
      <c r="BD63" s="521"/>
      <c r="BE63" s="521"/>
      <c r="BF63" s="521"/>
      <c r="BG63" s="521"/>
      <c r="BH63" s="521"/>
      <c r="BI63" s="521"/>
      <c r="BJ63" s="795"/>
      <c r="BK63" s="523"/>
      <c r="BL63" s="521"/>
      <c r="BN63" s="343"/>
      <c r="BO63" s="343"/>
      <c r="BP63" s="343"/>
    </row>
    <row r="64" spans="1:68" ht="242.25">
      <c r="A64" s="149"/>
      <c r="B64" s="163"/>
      <c r="C64" s="151"/>
      <c r="D64" s="682"/>
      <c r="E64" s="767"/>
      <c r="F64" s="282"/>
      <c r="G64" s="282"/>
      <c r="H64" s="282"/>
      <c r="I64" s="548" t="s">
        <v>541</v>
      </c>
      <c r="J64" s="549" t="s">
        <v>701</v>
      </c>
      <c r="K64" s="550" t="s">
        <v>702</v>
      </c>
      <c r="L64" s="550"/>
      <c r="M64" s="550" t="s">
        <v>703</v>
      </c>
      <c r="N64" s="550"/>
      <c r="O64" s="551" t="s">
        <v>654</v>
      </c>
      <c r="P64" s="552"/>
      <c r="Q64" s="553" t="s">
        <v>658</v>
      </c>
      <c r="R64" s="553"/>
      <c r="S64" s="550" t="s">
        <v>681</v>
      </c>
      <c r="T64" s="554"/>
      <c r="U64" s="555" t="s">
        <v>704</v>
      </c>
      <c r="V64" s="556"/>
      <c r="W64" s="684"/>
      <c r="X64" s="557"/>
      <c r="Y64" s="555"/>
      <c r="Z64" s="265"/>
      <c r="AA64" s="265"/>
      <c r="AB64" s="265"/>
      <c r="AC64" s="500"/>
      <c r="AD64" s="695"/>
      <c r="AE64" s="266" t="s">
        <v>676</v>
      </c>
      <c r="AF64" s="265"/>
      <c r="AG64" s="265" t="s">
        <v>705</v>
      </c>
      <c r="AH64" s="265" t="s">
        <v>706</v>
      </c>
      <c r="AI64" s="695"/>
      <c r="AJ64" s="161"/>
      <c r="AK64" s="161"/>
      <c r="AL64" s="161"/>
      <c r="AM64" s="161"/>
      <c r="AN64" s="161"/>
      <c r="AO64" s="161"/>
      <c r="AP64" s="161"/>
      <c r="AQ64" s="161"/>
      <c r="AR64" s="161"/>
      <c r="AS64" s="678"/>
      <c r="AT64" s="185"/>
      <c r="AU64" s="162"/>
      <c r="AV64" s="163"/>
      <c r="AW64" s="164"/>
      <c r="AX64" s="163"/>
      <c r="AY64" s="162"/>
      <c r="AZ64" s="164"/>
      <c r="BA64" s="163"/>
      <c r="BB64" s="695"/>
      <c r="BC64" s="165"/>
      <c r="BD64" s="522"/>
      <c r="BE64" s="522"/>
      <c r="BF64" s="522"/>
      <c r="BG64" s="522"/>
      <c r="BH64" s="522"/>
      <c r="BI64" s="522"/>
      <c r="BJ64" s="806"/>
      <c r="BK64" s="524"/>
      <c r="BL64" s="522"/>
      <c r="BN64" s="343"/>
      <c r="BO64" s="343"/>
      <c r="BP64" s="343"/>
    </row>
    <row r="65" spans="1:68" s="772" customFormat="1">
      <c r="A65" s="681">
        <v>25</v>
      </c>
      <c r="B65" s="682" t="s">
        <v>88</v>
      </c>
      <c r="C65" s="683" t="s">
        <v>707</v>
      </c>
      <c r="D65" s="682" t="s">
        <v>2523</v>
      </c>
      <c r="E65" s="767"/>
      <c r="F65" s="709" t="s">
        <v>1996</v>
      </c>
      <c r="G65" s="709" t="s">
        <v>1996</v>
      </c>
      <c r="H65" s="709" t="s">
        <v>1416</v>
      </c>
      <c r="I65" s="879">
        <v>10.28</v>
      </c>
      <c r="J65" s="903">
        <v>108.13800000000001</v>
      </c>
      <c r="K65" s="879">
        <v>25900</v>
      </c>
      <c r="L65" s="879">
        <v>25</v>
      </c>
      <c r="M65" s="879">
        <v>39.856699999999996</v>
      </c>
      <c r="N65" s="879">
        <v>25</v>
      </c>
      <c r="O65" s="879">
        <v>6.2697049372358829E-2</v>
      </c>
      <c r="P65" s="879">
        <v>10</v>
      </c>
      <c r="Q65" s="879">
        <v>9.9999999999999995E-7</v>
      </c>
      <c r="R65" s="689" t="s">
        <v>541</v>
      </c>
      <c r="S65" s="879">
        <v>1.95</v>
      </c>
      <c r="T65" s="686">
        <f t="shared" si="2"/>
        <v>89.125093813374562</v>
      </c>
      <c r="U65" s="879">
        <v>1.34</v>
      </c>
      <c r="V65" s="686">
        <f t="shared" si="3"/>
        <v>21.877616239495538</v>
      </c>
      <c r="W65" s="975"/>
      <c r="X65" s="870">
        <v>0.17</v>
      </c>
      <c r="Y65" s="870">
        <v>0.05</v>
      </c>
      <c r="Z65" s="689">
        <f>Y65</f>
        <v>0.05</v>
      </c>
      <c r="AA65" s="689" t="s">
        <v>541</v>
      </c>
      <c r="AB65" s="689" t="s">
        <v>541</v>
      </c>
      <c r="AC65" s="775" t="s">
        <v>541</v>
      </c>
      <c r="AD65" s="690"/>
      <c r="AE65" s="780"/>
      <c r="AF65" s="689"/>
      <c r="AG65" s="689"/>
      <c r="AH65" s="689"/>
      <c r="AI65" s="690"/>
      <c r="AJ65" s="686"/>
      <c r="AK65" s="686"/>
      <c r="AL65" s="686"/>
      <c r="AM65" s="686"/>
      <c r="AN65" s="686"/>
      <c r="AO65" s="686"/>
      <c r="AP65" s="686"/>
      <c r="AQ65" s="686"/>
      <c r="AR65" s="686"/>
      <c r="AS65" s="810"/>
      <c r="AT65" s="709"/>
      <c r="AU65" s="686"/>
      <c r="AV65" s="689"/>
      <c r="AW65" s="686"/>
      <c r="AX65" s="689"/>
      <c r="AY65" s="686"/>
      <c r="AZ65" s="686"/>
      <c r="BA65" s="689"/>
      <c r="BB65" s="684"/>
      <c r="BC65" s="691"/>
      <c r="BD65" s="691"/>
      <c r="BE65" s="691"/>
      <c r="BF65" s="691"/>
      <c r="BG65" s="691"/>
      <c r="BH65" s="691"/>
      <c r="BI65" s="691"/>
      <c r="BJ65" s="795"/>
      <c r="BK65" s="803"/>
      <c r="BL65" s="799"/>
      <c r="BM65" s="802"/>
      <c r="BN65" s="870"/>
      <c r="BO65" s="870">
        <v>0.25</v>
      </c>
      <c r="BP65" s="870">
        <v>1</v>
      </c>
    </row>
    <row r="66" spans="1:68" s="772" customFormat="1" ht="89.25">
      <c r="A66" s="681"/>
      <c r="B66" s="692"/>
      <c r="C66" s="683"/>
      <c r="D66" s="682"/>
      <c r="E66" s="767"/>
      <c r="F66" s="693"/>
      <c r="G66" s="693"/>
      <c r="H66" s="693"/>
      <c r="I66" s="883" t="s">
        <v>2249</v>
      </c>
      <c r="J66" s="904" t="s">
        <v>2211</v>
      </c>
      <c r="K66" s="883" t="s">
        <v>2244</v>
      </c>
      <c r="L66" s="883"/>
      <c r="M66" s="905" t="s">
        <v>2245</v>
      </c>
      <c r="N66" s="883"/>
      <c r="O66" s="883" t="s">
        <v>2246</v>
      </c>
      <c r="P66" s="883"/>
      <c r="Q66" s="906" t="s">
        <v>1094</v>
      </c>
      <c r="R66" s="692"/>
      <c r="S66" s="905" t="s">
        <v>2247</v>
      </c>
      <c r="T66" s="686"/>
      <c r="U66" s="883" t="s">
        <v>2248</v>
      </c>
      <c r="V66" s="686"/>
      <c r="W66" s="976"/>
      <c r="X66" s="874" t="s">
        <v>2250</v>
      </c>
      <c r="Y66" s="874" t="s">
        <v>2251</v>
      </c>
      <c r="Z66" s="696"/>
      <c r="AA66" s="692"/>
      <c r="AB66" s="692"/>
      <c r="AC66" s="776"/>
      <c r="AD66" s="695"/>
      <c r="AE66" s="693"/>
      <c r="AF66" s="692"/>
      <c r="AG66" s="692"/>
      <c r="AH66" s="692"/>
      <c r="AI66" s="695"/>
      <c r="AJ66" s="696" t="s">
        <v>2221</v>
      </c>
      <c r="AK66" s="696" t="s">
        <v>2221</v>
      </c>
      <c r="AL66" s="696" t="s">
        <v>2221</v>
      </c>
      <c r="AM66" s="696" t="s">
        <v>2221</v>
      </c>
      <c r="AN66" s="696" t="s">
        <v>2221</v>
      </c>
      <c r="AO66" s="696" t="s">
        <v>2221</v>
      </c>
      <c r="AP66" s="696" t="s">
        <v>2221</v>
      </c>
      <c r="AQ66" s="696" t="s">
        <v>2221</v>
      </c>
      <c r="AR66" s="696" t="s">
        <v>2221</v>
      </c>
      <c r="AS66" s="678"/>
      <c r="AT66" s="719"/>
      <c r="AU66" s="697"/>
      <c r="AV66" s="698"/>
      <c r="AW66" s="699"/>
      <c r="AX66" s="698"/>
      <c r="AY66" s="697"/>
      <c r="AZ66" s="699"/>
      <c r="BA66" s="698"/>
      <c r="BB66" s="695"/>
      <c r="BC66" s="691" t="s">
        <v>2220</v>
      </c>
      <c r="BD66" s="691" t="s">
        <v>2220</v>
      </c>
      <c r="BE66" s="691" t="s">
        <v>2220</v>
      </c>
      <c r="BF66" s="691" t="s">
        <v>2220</v>
      </c>
      <c r="BG66" s="691" t="s">
        <v>2220</v>
      </c>
      <c r="BH66" s="691" t="s">
        <v>2220</v>
      </c>
      <c r="BI66" s="691" t="s">
        <v>2220</v>
      </c>
      <c r="BJ66" s="806"/>
      <c r="BK66" s="804"/>
      <c r="BL66" s="800"/>
      <c r="BM66" s="802"/>
      <c r="BN66" s="870" t="s">
        <v>2220</v>
      </c>
      <c r="BO66" s="874" t="s">
        <v>2208</v>
      </c>
      <c r="BP66" s="874" t="s">
        <v>2208</v>
      </c>
    </row>
    <row r="67" spans="1:68" s="772" customFormat="1">
      <c r="A67" s="681">
        <v>26</v>
      </c>
      <c r="B67" s="682" t="s">
        <v>89</v>
      </c>
      <c r="C67" s="683" t="s">
        <v>707</v>
      </c>
      <c r="D67" s="682" t="s">
        <v>2524</v>
      </c>
      <c r="E67" s="766"/>
      <c r="F67" s="709" t="s">
        <v>1996</v>
      </c>
      <c r="G67" s="709" t="s">
        <v>1996</v>
      </c>
      <c r="H67" s="709" t="s">
        <v>1416</v>
      </c>
      <c r="I67" s="879">
        <v>10.09</v>
      </c>
      <c r="J67" s="903">
        <v>108.13800000000001</v>
      </c>
      <c r="K67" s="879">
        <v>22700</v>
      </c>
      <c r="L67" s="879">
        <v>25</v>
      </c>
      <c r="M67" s="879">
        <v>14.662999999999998</v>
      </c>
      <c r="N67" s="879">
        <v>25</v>
      </c>
      <c r="O67" s="879">
        <v>3.3049999999999996E-2</v>
      </c>
      <c r="P67" s="879">
        <v>10.050000000000011</v>
      </c>
      <c r="Q67" s="879">
        <v>9.9999999999999995E-7</v>
      </c>
      <c r="R67" s="689" t="s">
        <v>541</v>
      </c>
      <c r="S67" s="879">
        <v>1.96</v>
      </c>
      <c r="T67" s="686">
        <f t="shared" si="2"/>
        <v>91.201083935590972</v>
      </c>
      <c r="U67" s="879">
        <v>1.54</v>
      </c>
      <c r="V67" s="686">
        <f t="shared" si="3"/>
        <v>34.67368504525318</v>
      </c>
      <c r="W67" s="975"/>
      <c r="X67" s="870">
        <v>0.17</v>
      </c>
      <c r="Y67" s="870">
        <v>0.05</v>
      </c>
      <c r="Z67" s="689">
        <f>Y67</f>
        <v>0.05</v>
      </c>
      <c r="AA67" s="689" t="s">
        <v>541</v>
      </c>
      <c r="AB67" s="689" t="s">
        <v>541</v>
      </c>
      <c r="AC67" s="775" t="s">
        <v>541</v>
      </c>
      <c r="AD67" s="690"/>
      <c r="AE67" s="780">
        <v>0.05</v>
      </c>
      <c r="AF67" s="689">
        <v>0.17</v>
      </c>
      <c r="AG67" s="689"/>
      <c r="AH67" s="689"/>
      <c r="AI67" s="690"/>
      <c r="AJ67" s="686"/>
      <c r="AK67" s="686"/>
      <c r="AL67" s="686"/>
      <c r="AM67" s="686"/>
      <c r="AN67" s="686"/>
      <c r="AO67" s="686"/>
      <c r="AP67" s="686"/>
      <c r="AQ67" s="686"/>
      <c r="AR67" s="686"/>
      <c r="AS67" s="810"/>
      <c r="AT67" s="709"/>
      <c r="AU67" s="686"/>
      <c r="AV67" s="689"/>
      <c r="AW67" s="686"/>
      <c r="AX67" s="689"/>
      <c r="AY67" s="686"/>
      <c r="AZ67" s="686"/>
      <c r="BA67" s="689"/>
      <c r="BB67" s="684"/>
      <c r="BC67" s="691"/>
      <c r="BD67" s="691"/>
      <c r="BE67" s="691"/>
      <c r="BF67" s="691"/>
      <c r="BG67" s="691"/>
      <c r="BH67" s="691"/>
      <c r="BI67" s="691"/>
      <c r="BJ67" s="795"/>
      <c r="BK67" s="803"/>
      <c r="BL67" s="799"/>
      <c r="BM67" s="802"/>
      <c r="BN67" s="870"/>
      <c r="BO67" s="870">
        <v>0.25</v>
      </c>
      <c r="BP67" s="870">
        <v>1</v>
      </c>
    </row>
    <row r="68" spans="1:68" s="772" customFormat="1" ht="89.25">
      <c r="A68" s="681"/>
      <c r="B68" s="692"/>
      <c r="C68" s="683"/>
      <c r="D68" s="682"/>
      <c r="E68" s="767"/>
      <c r="F68" s="693"/>
      <c r="G68" s="693"/>
      <c r="H68" s="693"/>
      <c r="I68" s="883" t="s">
        <v>2256</v>
      </c>
      <c r="J68" s="904" t="s">
        <v>2211</v>
      </c>
      <c r="K68" s="883" t="s">
        <v>2252</v>
      </c>
      <c r="L68" s="883"/>
      <c r="M68" s="883" t="s">
        <v>2253</v>
      </c>
      <c r="N68" s="883"/>
      <c r="O68" s="883" t="s">
        <v>2246</v>
      </c>
      <c r="P68" s="883"/>
      <c r="Q68" s="906" t="s">
        <v>1094</v>
      </c>
      <c r="R68" s="692"/>
      <c r="S68" s="905" t="s">
        <v>2254</v>
      </c>
      <c r="T68" s="686"/>
      <c r="U68" s="883" t="s">
        <v>2255</v>
      </c>
      <c r="V68" s="686"/>
      <c r="W68" s="976"/>
      <c r="X68" s="874" t="s">
        <v>2250</v>
      </c>
      <c r="Y68" s="874" t="s">
        <v>2251</v>
      </c>
      <c r="Z68" s="696"/>
      <c r="AA68" s="692"/>
      <c r="AB68" s="692"/>
      <c r="AC68" s="776"/>
      <c r="AD68" s="695"/>
      <c r="AE68" s="693" t="s">
        <v>710</v>
      </c>
      <c r="AF68" s="692" t="s">
        <v>670</v>
      </c>
      <c r="AG68" s="692"/>
      <c r="AH68" s="692"/>
      <c r="AI68" s="695"/>
      <c r="AJ68" s="696" t="s">
        <v>2221</v>
      </c>
      <c r="AK68" s="696" t="s">
        <v>2221</v>
      </c>
      <c r="AL68" s="696" t="s">
        <v>2221</v>
      </c>
      <c r="AM68" s="696" t="s">
        <v>2221</v>
      </c>
      <c r="AN68" s="696" t="s">
        <v>2221</v>
      </c>
      <c r="AO68" s="696" t="s">
        <v>2221</v>
      </c>
      <c r="AP68" s="696" t="s">
        <v>2221</v>
      </c>
      <c r="AQ68" s="696" t="s">
        <v>2221</v>
      </c>
      <c r="AR68" s="696" t="s">
        <v>2221</v>
      </c>
      <c r="AS68" s="678"/>
      <c r="AT68" s="719"/>
      <c r="AU68" s="697"/>
      <c r="AV68" s="698"/>
      <c r="AW68" s="699"/>
      <c r="AX68" s="698"/>
      <c r="AY68" s="697"/>
      <c r="AZ68" s="699"/>
      <c r="BA68" s="698"/>
      <c r="BB68" s="695"/>
      <c r="BC68" s="691" t="s">
        <v>2220</v>
      </c>
      <c r="BD68" s="691" t="s">
        <v>2220</v>
      </c>
      <c r="BE68" s="691" t="s">
        <v>2220</v>
      </c>
      <c r="BF68" s="691" t="s">
        <v>2220</v>
      </c>
      <c r="BG68" s="691" t="s">
        <v>2220</v>
      </c>
      <c r="BH68" s="691" t="s">
        <v>2220</v>
      </c>
      <c r="BI68" s="691" t="s">
        <v>2220</v>
      </c>
      <c r="BJ68" s="806"/>
      <c r="BK68" s="804"/>
      <c r="BL68" s="800"/>
      <c r="BM68" s="802"/>
      <c r="BN68" s="870" t="s">
        <v>2220</v>
      </c>
      <c r="BO68" s="874" t="s">
        <v>2208</v>
      </c>
      <c r="BP68" s="874" t="s">
        <v>2208</v>
      </c>
    </row>
    <row r="69" spans="1:68" s="772" customFormat="1">
      <c r="A69" s="681">
        <v>27</v>
      </c>
      <c r="B69" s="682" t="s">
        <v>90</v>
      </c>
      <c r="C69" s="683" t="s">
        <v>707</v>
      </c>
      <c r="D69" s="682" t="s">
        <v>2525</v>
      </c>
      <c r="E69" s="767"/>
      <c r="F69" s="685" t="s">
        <v>1996</v>
      </c>
      <c r="G69" s="685" t="s">
        <v>1996</v>
      </c>
      <c r="H69" s="685" t="s">
        <v>1416</v>
      </c>
      <c r="I69" s="879">
        <v>10.26</v>
      </c>
      <c r="J69" s="903">
        <v>108.13800000000001</v>
      </c>
      <c r="K69" s="879">
        <v>21500</v>
      </c>
      <c r="L69" s="879">
        <v>25</v>
      </c>
      <c r="M69" s="879">
        <v>14.662999999999998</v>
      </c>
      <c r="N69" s="879">
        <v>25</v>
      </c>
      <c r="O69" s="879">
        <v>2.2800000000000001E-2</v>
      </c>
      <c r="P69" s="879">
        <v>10.03333333333336</v>
      </c>
      <c r="Q69" s="879">
        <v>9.9999999999999995E-7</v>
      </c>
      <c r="R69" s="689" t="s">
        <v>541</v>
      </c>
      <c r="S69" s="879">
        <v>1.94</v>
      </c>
      <c r="T69" s="686">
        <f t="shared" si="2"/>
        <v>87.096358995608071</v>
      </c>
      <c r="U69" s="879">
        <v>2.0433333333333334</v>
      </c>
      <c r="V69" s="686">
        <f t="shared" si="3"/>
        <v>110.49263568487598</v>
      </c>
      <c r="W69" s="977"/>
      <c r="X69" s="870">
        <v>0.17</v>
      </c>
      <c r="Y69" s="870">
        <v>0.02</v>
      </c>
      <c r="Z69" s="689">
        <f>Y69</f>
        <v>0.02</v>
      </c>
      <c r="AA69" s="689" t="s">
        <v>541</v>
      </c>
      <c r="AB69" s="689" t="s">
        <v>541</v>
      </c>
      <c r="AC69" s="775" t="s">
        <v>541</v>
      </c>
      <c r="AD69" s="690"/>
      <c r="AE69" s="780">
        <v>0.05</v>
      </c>
      <c r="AF69" s="689">
        <v>0.17</v>
      </c>
      <c r="AG69" s="689"/>
      <c r="AH69" s="689"/>
      <c r="AI69" s="690"/>
      <c r="AJ69" s="686"/>
      <c r="AK69" s="686"/>
      <c r="AL69" s="686"/>
      <c r="AM69" s="686"/>
      <c r="AN69" s="686"/>
      <c r="AO69" s="686"/>
      <c r="AP69" s="686"/>
      <c r="AQ69" s="686"/>
      <c r="AR69" s="686"/>
      <c r="AS69" s="810"/>
      <c r="AT69" s="709"/>
      <c r="AU69" s="686"/>
      <c r="AV69" s="689"/>
      <c r="AW69" s="686"/>
      <c r="AX69" s="689"/>
      <c r="AY69" s="686"/>
      <c r="AZ69" s="686"/>
      <c r="BA69" s="689"/>
      <c r="BB69" s="684"/>
      <c r="BC69" s="691"/>
      <c r="BD69" s="691"/>
      <c r="BE69" s="691"/>
      <c r="BF69" s="691"/>
      <c r="BG69" s="691"/>
      <c r="BH69" s="691"/>
      <c r="BI69" s="691"/>
      <c r="BJ69" s="795"/>
      <c r="BK69" s="803"/>
      <c r="BL69" s="799"/>
      <c r="BM69" s="802"/>
      <c r="BN69" s="870"/>
      <c r="BO69" s="870">
        <v>0.25</v>
      </c>
      <c r="BP69" s="870">
        <v>1</v>
      </c>
    </row>
    <row r="70" spans="1:68" s="772" customFormat="1" ht="89.25">
      <c r="A70" s="681"/>
      <c r="B70" s="692"/>
      <c r="C70" s="683"/>
      <c r="D70" s="682"/>
      <c r="E70" s="767"/>
      <c r="F70" s="693"/>
      <c r="G70" s="693"/>
      <c r="H70" s="693"/>
      <c r="I70" s="883" t="s">
        <v>2256</v>
      </c>
      <c r="J70" s="904" t="s">
        <v>2211</v>
      </c>
      <c r="K70" s="883" t="s">
        <v>2252</v>
      </c>
      <c r="L70" s="883"/>
      <c r="M70" s="883" t="s">
        <v>2253</v>
      </c>
      <c r="N70" s="883"/>
      <c r="O70" s="904" t="s">
        <v>2211</v>
      </c>
      <c r="P70" s="883"/>
      <c r="Q70" s="906" t="s">
        <v>1094</v>
      </c>
      <c r="R70" s="692"/>
      <c r="S70" s="905" t="s">
        <v>2254</v>
      </c>
      <c r="T70" s="686"/>
      <c r="U70" s="883" t="s">
        <v>2257</v>
      </c>
      <c r="V70" s="686"/>
      <c r="W70" s="978"/>
      <c r="X70" s="874" t="s">
        <v>2250</v>
      </c>
      <c r="Y70" s="874" t="s">
        <v>2258</v>
      </c>
      <c r="Z70" s="696"/>
      <c r="AA70" s="692"/>
      <c r="AB70" s="692"/>
      <c r="AC70" s="776"/>
      <c r="AD70" s="695"/>
      <c r="AE70" s="693" t="s">
        <v>670</v>
      </c>
      <c r="AF70" s="692" t="s">
        <v>670</v>
      </c>
      <c r="AG70" s="692"/>
      <c r="AH70" s="692"/>
      <c r="AI70" s="695"/>
      <c r="AJ70" s="696" t="s">
        <v>2221</v>
      </c>
      <c r="AK70" s="696" t="s">
        <v>2221</v>
      </c>
      <c r="AL70" s="696" t="s">
        <v>2221</v>
      </c>
      <c r="AM70" s="696" t="s">
        <v>2221</v>
      </c>
      <c r="AN70" s="696" t="s">
        <v>2221</v>
      </c>
      <c r="AO70" s="696" t="s">
        <v>2221</v>
      </c>
      <c r="AP70" s="696" t="s">
        <v>2221</v>
      </c>
      <c r="AQ70" s="696" t="s">
        <v>2221</v>
      </c>
      <c r="AR70" s="696" t="s">
        <v>2221</v>
      </c>
      <c r="AS70" s="678"/>
      <c r="AT70" s="719"/>
      <c r="AU70" s="697"/>
      <c r="AV70" s="698"/>
      <c r="AW70" s="699"/>
      <c r="AX70" s="698"/>
      <c r="AY70" s="697"/>
      <c r="AZ70" s="699"/>
      <c r="BA70" s="698"/>
      <c r="BB70" s="695"/>
      <c r="BC70" s="691" t="s">
        <v>2220</v>
      </c>
      <c r="BD70" s="691" t="s">
        <v>2220</v>
      </c>
      <c r="BE70" s="691" t="s">
        <v>2220</v>
      </c>
      <c r="BF70" s="691" t="s">
        <v>2220</v>
      </c>
      <c r="BG70" s="691" t="s">
        <v>2220</v>
      </c>
      <c r="BH70" s="691" t="s">
        <v>2220</v>
      </c>
      <c r="BI70" s="691" t="s">
        <v>2220</v>
      </c>
      <c r="BJ70" s="806"/>
      <c r="BK70" s="804"/>
      <c r="BL70" s="800"/>
      <c r="BM70" s="802"/>
      <c r="BN70" s="870" t="s">
        <v>2220</v>
      </c>
      <c r="BO70" s="874" t="s">
        <v>2208</v>
      </c>
      <c r="BP70" s="874" t="s">
        <v>2208</v>
      </c>
    </row>
    <row r="71" spans="1:68" s="772" customFormat="1" ht="15">
      <c r="A71" s="624">
        <v>28</v>
      </c>
      <c r="B71" s="618" t="s">
        <v>340</v>
      </c>
      <c r="C71" s="683" t="s">
        <v>707</v>
      </c>
      <c r="D71" s="682"/>
      <c r="E71" s="767"/>
      <c r="F71" s="685" t="s">
        <v>1996</v>
      </c>
      <c r="G71" s="685" t="s">
        <v>1996</v>
      </c>
      <c r="H71" s="685" t="s">
        <v>1416</v>
      </c>
      <c r="I71" s="879">
        <v>10.220000000000001</v>
      </c>
      <c r="J71" s="879">
        <v>109.14709999999999</v>
      </c>
      <c r="K71" s="879">
        <v>9066</v>
      </c>
      <c r="L71" s="879">
        <v>25</v>
      </c>
      <c r="M71" s="879">
        <v>22.664802631578951</v>
      </c>
      <c r="N71" s="879">
        <v>25</v>
      </c>
      <c r="O71" s="879">
        <v>6.2720175000000003E-2</v>
      </c>
      <c r="P71" s="879">
        <v>25</v>
      </c>
      <c r="Q71" s="879" t="s">
        <v>541</v>
      </c>
      <c r="R71" s="692" t="s">
        <v>541</v>
      </c>
      <c r="S71" s="879">
        <v>1.95</v>
      </c>
      <c r="T71" s="686">
        <f>10^S71</f>
        <v>89.125093813374562</v>
      </c>
      <c r="U71" s="883">
        <f>LOG(V71)</f>
        <v>2.4864304788544338</v>
      </c>
      <c r="V71" s="879">
        <v>306.5</v>
      </c>
      <c r="W71" s="978"/>
      <c r="X71" s="870">
        <v>0.6</v>
      </c>
      <c r="Y71" s="870">
        <v>0.1</v>
      </c>
      <c r="Z71" s="692">
        <f>Y71</f>
        <v>0.1</v>
      </c>
      <c r="AA71" s="692" t="s">
        <v>541</v>
      </c>
      <c r="AB71" s="692" t="s">
        <v>541</v>
      </c>
      <c r="AC71" s="776" t="s">
        <v>541</v>
      </c>
      <c r="AD71" s="695"/>
      <c r="AE71" s="693"/>
      <c r="AF71" s="692"/>
      <c r="AG71" s="692"/>
      <c r="AH71" s="692"/>
      <c r="AI71" s="695"/>
      <c r="AJ71" s="686"/>
      <c r="AK71" s="686"/>
      <c r="AL71" s="686"/>
      <c r="AM71" s="686"/>
      <c r="AN71" s="686"/>
      <c r="AO71" s="686"/>
      <c r="AP71" s="686"/>
      <c r="AQ71" s="686"/>
      <c r="AR71" s="686"/>
      <c r="AS71" s="678"/>
      <c r="AT71" s="719"/>
      <c r="AU71" s="697"/>
      <c r="AV71" s="698"/>
      <c r="AW71" s="699"/>
      <c r="AX71" s="698"/>
      <c r="AY71" s="697"/>
      <c r="AZ71" s="699"/>
      <c r="BA71" s="698"/>
      <c r="BB71" s="695"/>
      <c r="BC71" s="691"/>
      <c r="BD71" s="691"/>
      <c r="BE71" s="691"/>
      <c r="BF71" s="691"/>
      <c r="BG71" s="691"/>
      <c r="BH71" s="691"/>
      <c r="BI71" s="691"/>
      <c r="BJ71" s="806"/>
      <c r="BK71" s="804"/>
      <c r="BL71" s="800"/>
      <c r="BM71" s="802"/>
      <c r="BN71" s="870"/>
      <c r="BO71" s="870">
        <v>0.25</v>
      </c>
      <c r="BP71" s="870">
        <v>1</v>
      </c>
    </row>
    <row r="72" spans="1:68" s="772" customFormat="1" ht="63.75">
      <c r="A72" s="681"/>
      <c r="B72" s="692"/>
      <c r="C72" s="683"/>
      <c r="D72" s="682"/>
      <c r="E72" s="767"/>
      <c r="F72" s="693"/>
      <c r="G72" s="693"/>
      <c r="H72" s="693"/>
      <c r="I72" s="883" t="s">
        <v>2264</v>
      </c>
      <c r="J72" s="883" t="s">
        <v>2201</v>
      </c>
      <c r="K72" s="883" t="s">
        <v>2259</v>
      </c>
      <c r="L72" s="883"/>
      <c r="M72" s="883" t="s">
        <v>2260</v>
      </c>
      <c r="N72" s="883"/>
      <c r="O72" s="883" t="s">
        <v>2261</v>
      </c>
      <c r="P72" s="883"/>
      <c r="Q72" s="883"/>
      <c r="R72" s="692"/>
      <c r="S72" s="883" t="s">
        <v>2262</v>
      </c>
      <c r="T72" s="686"/>
      <c r="U72" s="883"/>
      <c r="V72" s="883" t="s">
        <v>2263</v>
      </c>
      <c r="W72" s="978"/>
      <c r="X72" s="874" t="s">
        <v>2266</v>
      </c>
      <c r="Y72" s="874" t="s">
        <v>2265</v>
      </c>
      <c r="Z72" s="696"/>
      <c r="AA72" s="692"/>
      <c r="AB72" s="692"/>
      <c r="AC72" s="776"/>
      <c r="AD72" s="695"/>
      <c r="AE72" s="693"/>
      <c r="AF72" s="692"/>
      <c r="AG72" s="692"/>
      <c r="AH72" s="692"/>
      <c r="AI72" s="695"/>
      <c r="AJ72" s="696" t="s">
        <v>2221</v>
      </c>
      <c r="AK72" s="696" t="s">
        <v>2221</v>
      </c>
      <c r="AL72" s="696" t="s">
        <v>2221</v>
      </c>
      <c r="AM72" s="696" t="s">
        <v>2221</v>
      </c>
      <c r="AN72" s="696" t="s">
        <v>2221</v>
      </c>
      <c r="AO72" s="696" t="s">
        <v>2221</v>
      </c>
      <c r="AP72" s="696" t="s">
        <v>2221</v>
      </c>
      <c r="AQ72" s="696" t="s">
        <v>2221</v>
      </c>
      <c r="AR72" s="696" t="s">
        <v>2221</v>
      </c>
      <c r="AS72" s="678"/>
      <c r="AT72" s="719"/>
      <c r="AU72" s="697"/>
      <c r="AV72" s="698"/>
      <c r="AW72" s="699"/>
      <c r="AX72" s="698"/>
      <c r="AY72" s="697"/>
      <c r="AZ72" s="699"/>
      <c r="BA72" s="698"/>
      <c r="BB72" s="695"/>
      <c r="BC72" s="691" t="s">
        <v>2220</v>
      </c>
      <c r="BD72" s="691" t="s">
        <v>2220</v>
      </c>
      <c r="BE72" s="691" t="s">
        <v>2220</v>
      </c>
      <c r="BF72" s="691" t="s">
        <v>2220</v>
      </c>
      <c r="BG72" s="691" t="s">
        <v>2220</v>
      </c>
      <c r="BH72" s="691" t="s">
        <v>2220</v>
      </c>
      <c r="BI72" s="691" t="s">
        <v>2220</v>
      </c>
      <c r="BJ72" s="806"/>
      <c r="BK72" s="804"/>
      <c r="BL72" s="800"/>
      <c r="BM72" s="802"/>
      <c r="BN72" s="870" t="s">
        <v>2220</v>
      </c>
      <c r="BO72" s="874" t="s">
        <v>2208</v>
      </c>
      <c r="BP72" s="874" t="s">
        <v>2208</v>
      </c>
    </row>
    <row r="73" spans="1:68">
      <c r="A73" s="149">
        <v>29</v>
      </c>
      <c r="B73" s="150" t="s">
        <v>91</v>
      </c>
      <c r="C73" s="151" t="s">
        <v>712</v>
      </c>
      <c r="D73" s="150"/>
      <c r="E73" s="766"/>
      <c r="F73" s="152" t="s">
        <v>1996</v>
      </c>
      <c r="G73" s="152" t="s">
        <v>1996</v>
      </c>
      <c r="H73" s="152" t="s">
        <v>1416</v>
      </c>
      <c r="I73" s="558">
        <v>10.47</v>
      </c>
      <c r="J73" s="559">
        <v>122.164</v>
      </c>
      <c r="K73" s="547">
        <v>7870</v>
      </c>
      <c r="L73" s="546">
        <v>25</v>
      </c>
      <c r="M73" s="547">
        <v>3.18</v>
      </c>
      <c r="N73" s="546">
        <v>10</v>
      </c>
      <c r="O73" s="545">
        <v>840</v>
      </c>
      <c r="P73" s="546">
        <v>10</v>
      </c>
      <c r="Q73" s="545"/>
      <c r="R73" s="545"/>
      <c r="S73" s="547">
        <v>2.35</v>
      </c>
      <c r="T73" s="547">
        <f t="shared" si="2"/>
        <v>223.87211385683412</v>
      </c>
      <c r="U73" s="547">
        <v>2.302</v>
      </c>
      <c r="V73" s="560">
        <f t="shared" si="3"/>
        <v>200.44720273651626</v>
      </c>
      <c r="W73" s="787"/>
      <c r="X73" s="561"/>
      <c r="Y73" s="545"/>
      <c r="Z73" s="156"/>
      <c r="AA73" s="156"/>
      <c r="AB73" s="156"/>
      <c r="AC73" s="501"/>
      <c r="AD73" s="690"/>
      <c r="AE73" s="512">
        <v>0.02</v>
      </c>
      <c r="AF73" s="150"/>
      <c r="AG73" s="156"/>
      <c r="AH73" s="156"/>
      <c r="AI73" s="690"/>
      <c r="AJ73" s="153"/>
      <c r="AK73" s="153"/>
      <c r="AL73" s="153"/>
      <c r="AM73" s="153"/>
      <c r="AN73" s="153"/>
      <c r="AO73" s="153"/>
      <c r="AP73" s="153"/>
      <c r="AQ73" s="153"/>
      <c r="AR73" s="153"/>
      <c r="AS73" s="810"/>
      <c r="AT73" s="173"/>
      <c r="AU73" s="153"/>
      <c r="AV73" s="156"/>
      <c r="AW73" s="153"/>
      <c r="AX73" s="156"/>
      <c r="AY73" s="153"/>
      <c r="AZ73" s="153"/>
      <c r="BA73" s="156"/>
      <c r="BB73" s="684"/>
      <c r="BC73" s="157"/>
      <c r="BD73" s="521"/>
      <c r="BE73" s="521"/>
      <c r="BF73" s="521"/>
      <c r="BG73" s="521"/>
      <c r="BH73" s="521"/>
      <c r="BI73" s="521"/>
      <c r="BJ73" s="795"/>
      <c r="BK73" s="523"/>
      <c r="BL73" s="521"/>
      <c r="BN73" s="343"/>
      <c r="BO73" s="343"/>
      <c r="BP73" s="343"/>
    </row>
    <row r="74" spans="1:68" ht="165.75">
      <c r="A74" s="149"/>
      <c r="B74" s="158"/>
      <c r="C74" s="151"/>
      <c r="D74" s="150"/>
      <c r="E74" s="767"/>
      <c r="F74" s="159"/>
      <c r="G74" s="159"/>
      <c r="H74" s="159"/>
      <c r="I74" s="170" t="s">
        <v>709</v>
      </c>
      <c r="J74" s="159" t="s">
        <v>680</v>
      </c>
      <c r="K74" s="158" t="s">
        <v>713</v>
      </c>
      <c r="L74" s="160"/>
      <c r="M74" s="160" t="s">
        <v>714</v>
      </c>
      <c r="N74" s="160"/>
      <c r="O74" s="155" t="s">
        <v>654</v>
      </c>
      <c r="P74" s="160"/>
      <c r="Q74" s="158" t="s">
        <v>715</v>
      </c>
      <c r="R74" s="158"/>
      <c r="S74" s="160" t="s">
        <v>681</v>
      </c>
      <c r="T74" s="153"/>
      <c r="U74" s="160" t="s">
        <v>711</v>
      </c>
      <c r="V74" s="520"/>
      <c r="W74" s="695"/>
      <c r="X74" s="159"/>
      <c r="Y74" s="158"/>
      <c r="Z74" s="158"/>
      <c r="AA74" s="158"/>
      <c r="AB74" s="158"/>
      <c r="AC74" s="502"/>
      <c r="AD74" s="695"/>
      <c r="AE74" s="159" t="s">
        <v>716</v>
      </c>
      <c r="AF74" s="158"/>
      <c r="AG74" s="158"/>
      <c r="AH74" s="158"/>
      <c r="AI74" s="695"/>
      <c r="AJ74" s="161"/>
      <c r="AK74" s="161"/>
      <c r="AL74" s="161"/>
      <c r="AM74" s="161"/>
      <c r="AN74" s="161"/>
      <c r="AO74" s="161"/>
      <c r="AP74" s="161"/>
      <c r="AQ74" s="161"/>
      <c r="AR74" s="161"/>
      <c r="AS74" s="678"/>
      <c r="AT74" s="185"/>
      <c r="AU74" s="162"/>
      <c r="AV74" s="163"/>
      <c r="AW74" s="164"/>
      <c r="AX74" s="163"/>
      <c r="AY74" s="162"/>
      <c r="AZ74" s="164"/>
      <c r="BA74" s="163"/>
      <c r="BB74" s="695"/>
      <c r="BC74" s="165"/>
      <c r="BD74" s="522"/>
      <c r="BE74" s="522"/>
      <c r="BF74" s="522"/>
      <c r="BG74" s="522"/>
      <c r="BH74" s="522"/>
      <c r="BI74" s="522"/>
      <c r="BJ74" s="806"/>
      <c r="BK74" s="524"/>
      <c r="BL74" s="522"/>
      <c r="BN74" s="343"/>
      <c r="BO74" s="343"/>
      <c r="BP74" s="343"/>
    </row>
    <row r="75" spans="1:68">
      <c r="A75" s="149">
        <v>31</v>
      </c>
      <c r="B75" s="150" t="s">
        <v>93</v>
      </c>
      <c r="C75" s="151" t="s">
        <v>712</v>
      </c>
      <c r="D75" s="150"/>
      <c r="E75" s="767"/>
      <c r="F75" s="152" t="s">
        <v>1996</v>
      </c>
      <c r="G75" s="152" t="s">
        <v>1996</v>
      </c>
      <c r="H75" s="152" t="s">
        <v>1416</v>
      </c>
      <c r="I75" s="150">
        <v>10.61</v>
      </c>
      <c r="J75" s="152">
        <v>122.164</v>
      </c>
      <c r="K75" s="156">
        <v>6000</v>
      </c>
      <c r="L75" s="154">
        <v>25</v>
      </c>
      <c r="M75" s="156">
        <v>8.6579999999999995</v>
      </c>
      <c r="N75" s="154" t="s">
        <v>541</v>
      </c>
      <c r="O75" s="156">
        <v>0.68400000000000005</v>
      </c>
      <c r="P75" s="154">
        <v>25</v>
      </c>
      <c r="Q75" s="156"/>
      <c r="R75" s="156"/>
      <c r="S75" s="153">
        <v>2.36</v>
      </c>
      <c r="T75" s="153">
        <f t="shared" si="2"/>
        <v>229.08676527677744</v>
      </c>
      <c r="U75" s="150">
        <v>1.988</v>
      </c>
      <c r="V75" s="520">
        <f t="shared" si="3"/>
        <v>97.274722377696506</v>
      </c>
      <c r="W75" s="684"/>
      <c r="X75" s="512"/>
      <c r="Y75" s="156"/>
      <c r="Z75" s="156"/>
      <c r="AA75" s="156"/>
      <c r="AB75" s="156"/>
      <c r="AC75" s="501"/>
      <c r="AD75" s="690"/>
      <c r="AE75" s="512">
        <v>5.9999999999999995E-4</v>
      </c>
      <c r="AF75" s="150"/>
      <c r="AG75" s="156"/>
      <c r="AH75" s="156"/>
      <c r="AI75" s="690"/>
      <c r="AJ75" s="153"/>
      <c r="AK75" s="153"/>
      <c r="AL75" s="153"/>
      <c r="AM75" s="153"/>
      <c r="AN75" s="153"/>
      <c r="AO75" s="153"/>
      <c r="AP75" s="153"/>
      <c r="AQ75" s="153"/>
      <c r="AR75" s="153"/>
      <c r="AS75" s="810"/>
      <c r="AT75" s="173"/>
      <c r="AU75" s="153"/>
      <c r="AV75" s="156"/>
      <c r="AW75" s="153"/>
      <c r="AX75" s="156"/>
      <c r="AY75" s="153"/>
      <c r="AZ75" s="153"/>
      <c r="BA75" s="156"/>
      <c r="BB75" s="684"/>
      <c r="BC75" s="157"/>
      <c r="BD75" s="521"/>
      <c r="BE75" s="521"/>
      <c r="BF75" s="521"/>
      <c r="BG75" s="521"/>
      <c r="BH75" s="521"/>
      <c r="BI75" s="521"/>
      <c r="BJ75" s="795"/>
      <c r="BK75" s="523"/>
      <c r="BL75" s="521"/>
      <c r="BN75" s="343"/>
      <c r="BO75" s="343"/>
      <c r="BP75" s="343"/>
    </row>
    <row r="76" spans="1:68" ht="102">
      <c r="A76" s="149"/>
      <c r="B76" s="158"/>
      <c r="C76" s="151"/>
      <c r="D76" s="150"/>
      <c r="E76" s="767"/>
      <c r="F76" s="159"/>
      <c r="G76" s="159"/>
      <c r="H76" s="159"/>
      <c r="I76" s="170" t="s">
        <v>709</v>
      </c>
      <c r="J76" s="159" t="s">
        <v>680</v>
      </c>
      <c r="K76" s="158" t="s">
        <v>717</v>
      </c>
      <c r="L76" s="160"/>
      <c r="M76" s="158" t="s">
        <v>718</v>
      </c>
      <c r="N76" s="160"/>
      <c r="O76" s="155" t="s">
        <v>654</v>
      </c>
      <c r="P76" s="160"/>
      <c r="Q76" s="158" t="s">
        <v>715</v>
      </c>
      <c r="R76" s="158"/>
      <c r="S76" s="160" t="s">
        <v>681</v>
      </c>
      <c r="T76" s="153"/>
      <c r="U76" s="160" t="s">
        <v>719</v>
      </c>
      <c r="V76" s="520"/>
      <c r="W76" s="695"/>
      <c r="X76" s="159"/>
      <c r="Y76" s="158"/>
      <c r="Z76" s="158"/>
      <c r="AA76" s="158"/>
      <c r="AB76" s="158"/>
      <c r="AC76" s="502"/>
      <c r="AD76" s="695"/>
      <c r="AE76" s="159" t="s">
        <v>716</v>
      </c>
      <c r="AF76" s="158"/>
      <c r="AG76" s="158"/>
      <c r="AH76" s="158"/>
      <c r="AI76" s="695"/>
      <c r="AJ76" s="161"/>
      <c r="AK76" s="161"/>
      <c r="AL76" s="161"/>
      <c r="AM76" s="161"/>
      <c r="AN76" s="161"/>
      <c r="AO76" s="161"/>
      <c r="AP76" s="161"/>
      <c r="AQ76" s="161"/>
      <c r="AR76" s="161"/>
      <c r="AS76" s="678"/>
      <c r="AT76" s="185"/>
      <c r="AU76" s="162"/>
      <c r="AV76" s="163"/>
      <c r="AW76" s="164"/>
      <c r="AX76" s="163"/>
      <c r="AY76" s="162"/>
      <c r="AZ76" s="164"/>
      <c r="BA76" s="163"/>
      <c r="BB76" s="695"/>
      <c r="BC76" s="165"/>
      <c r="BD76" s="522"/>
      <c r="BE76" s="522"/>
      <c r="BF76" s="522"/>
      <c r="BG76" s="522"/>
      <c r="BH76" s="522"/>
      <c r="BI76" s="522"/>
      <c r="BJ76" s="806"/>
      <c r="BK76" s="524"/>
      <c r="BL76" s="522"/>
      <c r="BN76" s="343"/>
      <c r="BO76" s="343"/>
      <c r="BP76" s="343"/>
    </row>
    <row r="77" spans="1:68">
      <c r="A77" s="149">
        <v>32</v>
      </c>
      <c r="B77" s="150" t="s">
        <v>94</v>
      </c>
      <c r="C77" s="151" t="s">
        <v>712</v>
      </c>
      <c r="D77" s="150"/>
      <c r="E77" s="767"/>
      <c r="F77" s="152" t="s">
        <v>1996</v>
      </c>
      <c r="G77" s="152" t="s">
        <v>1996</v>
      </c>
      <c r="H77" s="152" t="s">
        <v>1416</v>
      </c>
      <c r="I77" s="150">
        <v>10.36</v>
      </c>
      <c r="J77" s="152">
        <v>122.164</v>
      </c>
      <c r="K77" s="156">
        <v>4770</v>
      </c>
      <c r="L77" s="154">
        <v>25</v>
      </c>
      <c r="M77" s="156">
        <v>0.30299999999999999</v>
      </c>
      <c r="N77" s="154">
        <v>10</v>
      </c>
      <c r="O77" s="156">
        <v>2.7799999999999998E-2</v>
      </c>
      <c r="P77" s="154">
        <v>20</v>
      </c>
      <c r="Q77" s="156"/>
      <c r="R77" s="156"/>
      <c r="S77" s="153">
        <v>3.23</v>
      </c>
      <c r="T77" s="153">
        <f t="shared" si="2"/>
        <v>1698.2436524617447</v>
      </c>
      <c r="U77" s="150">
        <v>2.8479999999999999</v>
      </c>
      <c r="V77" s="520">
        <f t="shared" si="3"/>
        <v>704.69306896714738</v>
      </c>
      <c r="W77" s="684"/>
      <c r="X77" s="512"/>
      <c r="Y77" s="156"/>
      <c r="Z77" s="156"/>
      <c r="AA77" s="156"/>
      <c r="AB77" s="156"/>
      <c r="AC77" s="501"/>
      <c r="AD77" s="690"/>
      <c r="AE77" s="512">
        <v>1E-3</v>
      </c>
      <c r="AF77" s="150"/>
      <c r="AG77" s="156"/>
      <c r="AH77" s="156"/>
      <c r="AI77" s="690"/>
      <c r="AJ77" s="153"/>
      <c r="AK77" s="153"/>
      <c r="AL77" s="153"/>
      <c r="AM77" s="153"/>
      <c r="AN77" s="153"/>
      <c r="AO77" s="153"/>
      <c r="AP77" s="153"/>
      <c r="AQ77" s="153"/>
      <c r="AR77" s="153"/>
      <c r="AS77" s="810"/>
      <c r="AT77" s="173"/>
      <c r="AU77" s="153"/>
      <c r="AV77" s="156"/>
      <c r="AW77" s="153"/>
      <c r="AX77" s="156"/>
      <c r="AY77" s="153"/>
      <c r="AZ77" s="153"/>
      <c r="BA77" s="156"/>
      <c r="BB77" s="684"/>
      <c r="BC77" s="157"/>
      <c r="BD77" s="521"/>
      <c r="BE77" s="521"/>
      <c r="BF77" s="521"/>
      <c r="BG77" s="521"/>
      <c r="BH77" s="521"/>
      <c r="BI77" s="521"/>
      <c r="BJ77" s="795"/>
      <c r="BK77" s="523"/>
      <c r="BL77" s="521"/>
      <c r="BN77" s="343"/>
      <c r="BO77" s="343"/>
      <c r="BP77" s="343"/>
    </row>
    <row r="78" spans="1:68" ht="114.75">
      <c r="A78" s="149"/>
      <c r="B78" s="158"/>
      <c r="C78" s="151"/>
      <c r="D78" s="150"/>
      <c r="E78" s="767"/>
      <c r="F78" s="159"/>
      <c r="G78" s="159"/>
      <c r="H78" s="159"/>
      <c r="I78" s="170" t="s">
        <v>709</v>
      </c>
      <c r="J78" s="159" t="s">
        <v>680</v>
      </c>
      <c r="K78" s="158" t="s">
        <v>720</v>
      </c>
      <c r="L78" s="160"/>
      <c r="M78" s="160" t="s">
        <v>714</v>
      </c>
      <c r="N78" s="160"/>
      <c r="O78" s="155" t="s">
        <v>654</v>
      </c>
      <c r="P78" s="160"/>
      <c r="Q78" s="158" t="s">
        <v>715</v>
      </c>
      <c r="R78" s="158"/>
      <c r="S78" s="160" t="s">
        <v>681</v>
      </c>
      <c r="T78" s="153"/>
      <c r="U78" s="160" t="s">
        <v>719</v>
      </c>
      <c r="V78" s="520"/>
      <c r="W78" s="695"/>
      <c r="X78" s="159"/>
      <c r="Y78" s="158"/>
      <c r="Z78" s="158"/>
      <c r="AA78" s="158"/>
      <c r="AB78" s="158"/>
      <c r="AC78" s="502"/>
      <c r="AD78" s="695"/>
      <c r="AE78" s="159" t="s">
        <v>716</v>
      </c>
      <c r="AF78" s="158"/>
      <c r="AG78" s="158"/>
      <c r="AH78" s="158"/>
      <c r="AI78" s="695"/>
      <c r="AJ78" s="161"/>
      <c r="AK78" s="161"/>
      <c r="AL78" s="161"/>
      <c r="AM78" s="161"/>
      <c r="AN78" s="161"/>
      <c r="AO78" s="161"/>
      <c r="AP78" s="161"/>
      <c r="AQ78" s="161"/>
      <c r="AR78" s="161"/>
      <c r="AS78" s="678"/>
      <c r="AT78" s="185"/>
      <c r="AU78" s="162"/>
      <c r="AV78" s="163"/>
      <c r="AW78" s="164"/>
      <c r="AX78" s="163"/>
      <c r="AY78" s="162"/>
      <c r="AZ78" s="164"/>
      <c r="BA78" s="163"/>
      <c r="BB78" s="695"/>
      <c r="BC78" s="165"/>
      <c r="BD78" s="522"/>
      <c r="BE78" s="522"/>
      <c r="BF78" s="522"/>
      <c r="BG78" s="522"/>
      <c r="BH78" s="522"/>
      <c r="BI78" s="522"/>
      <c r="BJ78" s="806"/>
      <c r="BK78" s="524"/>
      <c r="BL78" s="522"/>
      <c r="BN78" s="343"/>
      <c r="BO78" s="343"/>
      <c r="BP78" s="343"/>
    </row>
    <row r="79" spans="1:68" ht="15.75">
      <c r="A79" s="149">
        <v>33</v>
      </c>
      <c r="B79" s="150" t="s">
        <v>95</v>
      </c>
      <c r="C79" s="151" t="s">
        <v>721</v>
      </c>
      <c r="D79" s="150"/>
      <c r="E79" s="767"/>
      <c r="F79" s="260"/>
      <c r="G79" s="260"/>
      <c r="H79" s="260"/>
      <c r="I79" s="259">
        <v>8.58</v>
      </c>
      <c r="J79" s="260">
        <v>128.55600000000001</v>
      </c>
      <c r="K79" s="258">
        <v>24007</v>
      </c>
      <c r="L79" s="271">
        <v>15.4</v>
      </c>
      <c r="M79" s="264">
        <v>125.1</v>
      </c>
      <c r="N79" s="262">
        <v>12</v>
      </c>
      <c r="O79" s="264">
        <v>0.66100000000000003</v>
      </c>
      <c r="P79" s="262">
        <v>20</v>
      </c>
      <c r="Q79" s="264">
        <v>5.0000000000000001E-9</v>
      </c>
      <c r="R79" s="264"/>
      <c r="S79" s="261">
        <v>2.0489999999999999</v>
      </c>
      <c r="T79" s="261">
        <f t="shared" si="2"/>
        <v>111.94378834671517</v>
      </c>
      <c r="U79" s="261">
        <v>2.0099999999999998</v>
      </c>
      <c r="V79" s="519">
        <f t="shared" si="3"/>
        <v>102.32929922807544</v>
      </c>
      <c r="W79" s="684"/>
      <c r="X79" s="511"/>
      <c r="Y79" s="264"/>
      <c r="Z79" s="264"/>
      <c r="AA79" s="264"/>
      <c r="AB79" s="264"/>
      <c r="AC79" s="499"/>
      <c r="AD79" s="690"/>
      <c r="AE79" s="511">
        <v>5.0000000000000001E-3</v>
      </c>
      <c r="AF79" s="259"/>
      <c r="AG79" s="264"/>
      <c r="AH79" s="264"/>
      <c r="AI79" s="690"/>
      <c r="AJ79" s="153"/>
      <c r="AK79" s="153"/>
      <c r="AL79" s="153"/>
      <c r="AM79" s="153"/>
      <c r="AN79" s="153"/>
      <c r="AO79" s="153"/>
      <c r="AP79" s="153"/>
      <c r="AQ79" s="153"/>
      <c r="AR79" s="153"/>
      <c r="AS79" s="810"/>
      <c r="AT79" s="173"/>
      <c r="AU79" s="153"/>
      <c r="AV79" s="156"/>
      <c r="AW79" s="153"/>
      <c r="AX79" s="156"/>
      <c r="AY79" s="153"/>
      <c r="AZ79" s="153"/>
      <c r="BA79" s="156"/>
      <c r="BB79" s="684"/>
      <c r="BC79" s="157"/>
      <c r="BD79" s="521"/>
      <c r="BE79" s="521"/>
      <c r="BF79" s="521"/>
      <c r="BG79" s="521"/>
      <c r="BH79" s="521"/>
      <c r="BI79" s="521"/>
      <c r="BJ79" s="795"/>
      <c r="BK79" s="523"/>
      <c r="BL79" s="521"/>
      <c r="BN79" s="343"/>
      <c r="BO79" s="343"/>
      <c r="BP79" s="343"/>
    </row>
    <row r="80" spans="1:68" ht="242.25">
      <c r="A80" s="149"/>
      <c r="B80" s="158"/>
      <c r="C80" s="151"/>
      <c r="D80" s="150"/>
      <c r="E80" s="767"/>
      <c r="F80" s="266"/>
      <c r="G80" s="266"/>
      <c r="H80" s="266"/>
      <c r="I80" s="274" t="s">
        <v>709</v>
      </c>
      <c r="J80" s="266" t="s">
        <v>680</v>
      </c>
      <c r="K80" s="265" t="s">
        <v>722</v>
      </c>
      <c r="L80" s="267"/>
      <c r="M80" s="265" t="s">
        <v>723</v>
      </c>
      <c r="N80" s="267"/>
      <c r="O80" s="263" t="s">
        <v>654</v>
      </c>
      <c r="P80" s="267"/>
      <c r="Q80" s="267" t="s">
        <v>658</v>
      </c>
      <c r="R80" s="267"/>
      <c r="S80" s="267" t="s">
        <v>724</v>
      </c>
      <c r="T80" s="261"/>
      <c r="U80" s="267" t="s">
        <v>711</v>
      </c>
      <c r="V80" s="519"/>
      <c r="W80" s="684"/>
      <c r="X80" s="266"/>
      <c r="Y80" s="265"/>
      <c r="Z80" s="265"/>
      <c r="AA80" s="265"/>
      <c r="AB80" s="265"/>
      <c r="AC80" s="500"/>
      <c r="AD80" s="695"/>
      <c r="AE80" s="266" t="s">
        <v>716</v>
      </c>
      <c r="AF80" s="265"/>
      <c r="AG80" s="265"/>
      <c r="AH80" s="265"/>
      <c r="AI80" s="695"/>
      <c r="AJ80" s="161"/>
      <c r="AK80" s="161"/>
      <c r="AL80" s="161"/>
      <c r="AM80" s="161"/>
      <c r="AN80" s="161"/>
      <c r="AO80" s="161"/>
      <c r="AP80" s="161"/>
      <c r="AQ80" s="161"/>
      <c r="AR80" s="161"/>
      <c r="AS80" s="678"/>
      <c r="AT80" s="185"/>
      <c r="AU80" s="162"/>
      <c r="AV80" s="163"/>
      <c r="AW80" s="164"/>
      <c r="AX80" s="163"/>
      <c r="AY80" s="162"/>
      <c r="AZ80" s="164"/>
      <c r="BA80" s="163"/>
      <c r="BB80" s="695"/>
      <c r="BC80" s="165"/>
      <c r="BD80" s="522"/>
      <c r="BE80" s="522"/>
      <c r="BF80" s="522"/>
      <c r="BG80" s="522"/>
      <c r="BH80" s="522"/>
      <c r="BI80" s="522"/>
      <c r="BJ80" s="806"/>
      <c r="BK80" s="524"/>
      <c r="BL80" s="522"/>
      <c r="BN80" s="343"/>
      <c r="BO80" s="343"/>
      <c r="BP80" s="343"/>
    </row>
    <row r="81" spans="1:68" ht="15.75">
      <c r="A81" s="149">
        <v>36</v>
      </c>
      <c r="B81" s="150" t="s">
        <v>98</v>
      </c>
      <c r="C81" s="151" t="s">
        <v>725</v>
      </c>
      <c r="D81" s="150"/>
      <c r="E81" s="767"/>
      <c r="F81" s="260"/>
      <c r="G81" s="260"/>
      <c r="H81" s="260"/>
      <c r="I81" s="259">
        <v>7.93</v>
      </c>
      <c r="J81" s="260">
        <v>163.001</v>
      </c>
      <c r="K81" s="261">
        <v>3896</v>
      </c>
      <c r="L81" s="262">
        <v>15.3</v>
      </c>
      <c r="M81" s="261">
        <v>11.87</v>
      </c>
      <c r="N81" s="262">
        <v>25</v>
      </c>
      <c r="O81" s="264">
        <v>0.29199999999999998</v>
      </c>
      <c r="P81" s="262">
        <v>20</v>
      </c>
      <c r="Q81" s="264">
        <v>9.9999999999999995E-8</v>
      </c>
      <c r="R81" s="264"/>
      <c r="S81" s="261">
        <v>3.23</v>
      </c>
      <c r="T81" s="261">
        <f t="shared" si="2"/>
        <v>1698.2436524617447</v>
      </c>
      <c r="U81" s="261">
        <v>2.5513156010000002</v>
      </c>
      <c r="V81" s="519">
        <f t="shared" si="3"/>
        <v>355.88984911855306</v>
      </c>
      <c r="W81" s="684"/>
      <c r="X81" s="511"/>
      <c r="Y81" s="264"/>
      <c r="Z81" s="264"/>
      <c r="AA81" s="264"/>
      <c r="AB81" s="264"/>
      <c r="AC81" s="499"/>
      <c r="AD81" s="690"/>
      <c r="AE81" s="511">
        <v>3.0000000000000001E-3</v>
      </c>
      <c r="AF81" s="259"/>
      <c r="AG81" s="264"/>
      <c r="AH81" s="264"/>
      <c r="AI81" s="690"/>
      <c r="AJ81" s="153"/>
      <c r="AK81" s="153"/>
      <c r="AL81" s="153"/>
      <c r="AM81" s="153"/>
      <c r="AN81" s="153"/>
      <c r="AO81" s="153"/>
      <c r="AP81" s="153"/>
      <c r="AQ81" s="153"/>
      <c r="AR81" s="153"/>
      <c r="AS81" s="810"/>
      <c r="AT81" s="173"/>
      <c r="AU81" s="153"/>
      <c r="AV81" s="156"/>
      <c r="AW81" s="153"/>
      <c r="AX81" s="156"/>
      <c r="AY81" s="153"/>
      <c r="AZ81" s="153"/>
      <c r="BA81" s="156"/>
      <c r="BB81" s="684"/>
      <c r="BC81" s="157"/>
      <c r="BD81" s="521"/>
      <c r="BE81" s="521"/>
      <c r="BF81" s="521"/>
      <c r="BG81" s="521"/>
      <c r="BH81" s="521"/>
      <c r="BI81" s="521"/>
      <c r="BJ81" s="795"/>
      <c r="BK81" s="523"/>
      <c r="BL81" s="521"/>
      <c r="BN81" s="343"/>
      <c r="BO81" s="343"/>
      <c r="BP81" s="343"/>
    </row>
    <row r="82" spans="1:68" ht="242.25">
      <c r="A82" s="149"/>
      <c r="B82" s="158"/>
      <c r="C82" s="151"/>
      <c r="D82" s="150"/>
      <c r="E82" s="767"/>
      <c r="F82" s="266"/>
      <c r="G82" s="266"/>
      <c r="H82" s="266"/>
      <c r="I82" s="274" t="s">
        <v>709</v>
      </c>
      <c r="J82" s="266" t="s">
        <v>726</v>
      </c>
      <c r="K82" s="267" t="s">
        <v>727</v>
      </c>
      <c r="L82" s="267"/>
      <c r="M82" s="267" t="s">
        <v>728</v>
      </c>
      <c r="N82" s="267"/>
      <c r="O82" s="263" t="s">
        <v>654</v>
      </c>
      <c r="P82" s="267"/>
      <c r="Q82" s="265" t="s">
        <v>658</v>
      </c>
      <c r="R82" s="265"/>
      <c r="S82" s="267" t="s">
        <v>681</v>
      </c>
      <c r="T82" s="261"/>
      <c r="U82" s="267" t="s">
        <v>729</v>
      </c>
      <c r="V82" s="519"/>
      <c r="W82" s="695"/>
      <c r="X82" s="266"/>
      <c r="Y82" s="265"/>
      <c r="Z82" s="265"/>
      <c r="AA82" s="265"/>
      <c r="AB82" s="265"/>
      <c r="AC82" s="500"/>
      <c r="AD82" s="695"/>
      <c r="AE82" s="266" t="s">
        <v>716</v>
      </c>
      <c r="AF82" s="265"/>
      <c r="AG82" s="265"/>
      <c r="AH82" s="265"/>
      <c r="AI82" s="695"/>
      <c r="AJ82" s="161"/>
      <c r="AK82" s="161"/>
      <c r="AL82" s="161"/>
      <c r="AM82" s="161"/>
      <c r="AN82" s="161"/>
      <c r="AO82" s="161"/>
      <c r="AP82" s="161"/>
      <c r="AQ82" s="161"/>
      <c r="AR82" s="161"/>
      <c r="AS82" s="678"/>
      <c r="AT82" s="185"/>
      <c r="AU82" s="162"/>
      <c r="AV82" s="163"/>
      <c r="AW82" s="164"/>
      <c r="AX82" s="163"/>
      <c r="AY82" s="162"/>
      <c r="AZ82" s="164"/>
      <c r="BA82" s="163"/>
      <c r="BB82" s="695"/>
      <c r="BC82" s="165"/>
      <c r="BD82" s="522"/>
      <c r="BE82" s="522"/>
      <c r="BF82" s="522"/>
      <c r="BG82" s="522"/>
      <c r="BH82" s="522"/>
      <c r="BI82" s="522"/>
      <c r="BJ82" s="806"/>
      <c r="BK82" s="524"/>
      <c r="BL82" s="522"/>
      <c r="BN82" s="343"/>
      <c r="BO82" s="343"/>
      <c r="BP82" s="343"/>
    </row>
    <row r="83" spans="1:68" s="772" customFormat="1" ht="15">
      <c r="A83" s="624">
        <v>40</v>
      </c>
      <c r="B83" s="617" t="s">
        <v>102</v>
      </c>
      <c r="C83" s="907" t="s">
        <v>2340</v>
      </c>
      <c r="D83" s="682" t="s">
        <v>2526</v>
      </c>
      <c r="E83" s="767"/>
      <c r="F83" s="693" t="s">
        <v>1996</v>
      </c>
      <c r="G83" s="692" t="s">
        <v>1997</v>
      </c>
      <c r="H83" s="692" t="s">
        <v>541</v>
      </c>
      <c r="I83" s="692" t="s">
        <v>541</v>
      </c>
      <c r="J83" s="879">
        <v>197.44800000000001</v>
      </c>
      <c r="K83" s="879">
        <v>90.9</v>
      </c>
      <c r="L83" s="879">
        <v>25</v>
      </c>
      <c r="M83" s="879">
        <v>2.9330921052631576</v>
      </c>
      <c r="N83" s="879">
        <v>25</v>
      </c>
      <c r="O83" s="879">
        <v>2.31021E-2</v>
      </c>
      <c r="P83" s="879">
        <v>25</v>
      </c>
      <c r="Q83" s="908">
        <v>4.9999999999999998E-7</v>
      </c>
      <c r="R83" s="692" t="s">
        <v>541</v>
      </c>
      <c r="S83" s="879">
        <v>3.84</v>
      </c>
      <c r="T83" s="686">
        <f>10^S83</f>
        <v>6918.3097091893687</v>
      </c>
      <c r="U83" s="694">
        <f>LOG(V83)</f>
        <v>3.2496874278053016</v>
      </c>
      <c r="V83" s="879">
        <v>1777</v>
      </c>
      <c r="W83" s="695"/>
      <c r="X83" s="693"/>
      <c r="Y83" s="692"/>
      <c r="Z83" s="692"/>
      <c r="AA83" s="692"/>
      <c r="AB83" s="692"/>
      <c r="AC83" s="776"/>
      <c r="AD83" s="695"/>
      <c r="AE83" s="693"/>
      <c r="AF83" s="692"/>
      <c r="AG83" s="692"/>
      <c r="AH83" s="692"/>
      <c r="AI83" s="695"/>
      <c r="AJ83" s="696"/>
      <c r="AK83" s="696"/>
      <c r="AL83" s="696"/>
      <c r="AM83" s="696"/>
      <c r="AN83" s="696"/>
      <c r="AO83" s="696"/>
      <c r="AP83" s="696"/>
      <c r="AQ83" s="696"/>
      <c r="AR83" s="696"/>
      <c r="AS83" s="678"/>
      <c r="AT83" s="719"/>
      <c r="AU83" s="697"/>
      <c r="AV83" s="698"/>
      <c r="AW83" s="699"/>
      <c r="AX83" s="698"/>
      <c r="AY83" s="697"/>
      <c r="AZ83" s="699"/>
      <c r="BA83" s="698"/>
      <c r="BB83" s="695"/>
      <c r="BC83" s="700"/>
      <c r="BD83" s="800"/>
      <c r="BE83" s="800"/>
      <c r="BF83" s="800"/>
      <c r="BG83" s="800"/>
      <c r="BH83" s="800"/>
      <c r="BI83" s="800"/>
      <c r="BJ83" s="806"/>
      <c r="BK83" s="804"/>
      <c r="BL83" s="800"/>
      <c r="BM83" s="802"/>
      <c r="BN83" s="870"/>
      <c r="BO83" s="870">
        <v>0.25</v>
      </c>
      <c r="BP83" s="870">
        <v>1</v>
      </c>
    </row>
    <row r="84" spans="1:68" s="772" customFormat="1" ht="64.5">
      <c r="A84" s="681"/>
      <c r="B84" s="692"/>
      <c r="C84" s="909"/>
      <c r="D84" s="682"/>
      <c r="E84" s="767"/>
      <c r="F84" s="693"/>
      <c r="G84" s="692"/>
      <c r="H84" s="692"/>
      <c r="I84" s="705"/>
      <c r="J84" s="883" t="s">
        <v>2201</v>
      </c>
      <c r="K84" s="885" t="s">
        <v>2342</v>
      </c>
      <c r="L84" s="885"/>
      <c r="M84" s="885" t="s">
        <v>2343</v>
      </c>
      <c r="N84" s="885"/>
      <c r="O84" s="885" t="s">
        <v>2344</v>
      </c>
      <c r="P84" s="885"/>
      <c r="Q84" s="883" t="s">
        <v>2271</v>
      </c>
      <c r="R84" s="692"/>
      <c r="S84" s="885" t="s">
        <v>2348</v>
      </c>
      <c r="T84" s="686"/>
      <c r="U84" s="694"/>
      <c r="V84" s="885" t="s">
        <v>2350</v>
      </c>
      <c r="W84" s="695"/>
      <c r="X84" s="693"/>
      <c r="Y84" s="692"/>
      <c r="Z84" s="692"/>
      <c r="AA84" s="692"/>
      <c r="AB84" s="692"/>
      <c r="AC84" s="776"/>
      <c r="AD84" s="695"/>
      <c r="AE84" s="693"/>
      <c r="AF84" s="692"/>
      <c r="AG84" s="692"/>
      <c r="AH84" s="692"/>
      <c r="AI84" s="695"/>
      <c r="AJ84" s="696" t="s">
        <v>2221</v>
      </c>
      <c r="AK84" s="696" t="s">
        <v>2221</v>
      </c>
      <c r="AL84" s="696" t="s">
        <v>2221</v>
      </c>
      <c r="AM84" s="696" t="s">
        <v>2221</v>
      </c>
      <c r="AN84" s="696" t="s">
        <v>2221</v>
      </c>
      <c r="AO84" s="696" t="s">
        <v>2221</v>
      </c>
      <c r="AP84" s="696" t="s">
        <v>2221</v>
      </c>
      <c r="AQ84" s="696" t="s">
        <v>2221</v>
      </c>
      <c r="AR84" s="696" t="s">
        <v>2221</v>
      </c>
      <c r="AS84" s="678"/>
      <c r="AT84" s="719"/>
      <c r="AU84" s="697"/>
      <c r="AV84" s="698"/>
      <c r="AW84" s="699"/>
      <c r="AX84" s="698"/>
      <c r="AY84" s="697"/>
      <c r="AZ84" s="699"/>
      <c r="BA84" s="698"/>
      <c r="BB84" s="695"/>
      <c r="BC84" s="691" t="s">
        <v>2220</v>
      </c>
      <c r="BD84" s="691" t="s">
        <v>2220</v>
      </c>
      <c r="BE84" s="691" t="s">
        <v>2220</v>
      </c>
      <c r="BF84" s="691" t="s">
        <v>2220</v>
      </c>
      <c r="BG84" s="691" t="s">
        <v>2220</v>
      </c>
      <c r="BH84" s="691" t="s">
        <v>2220</v>
      </c>
      <c r="BI84" s="691" t="s">
        <v>2220</v>
      </c>
      <c r="BJ84" s="806"/>
      <c r="BK84" s="804"/>
      <c r="BL84" s="800"/>
      <c r="BM84" s="802"/>
      <c r="BN84" s="870" t="s">
        <v>2220</v>
      </c>
      <c r="BO84" s="874" t="s">
        <v>2208</v>
      </c>
      <c r="BP84" s="874" t="s">
        <v>2208</v>
      </c>
    </row>
    <row r="85" spans="1:68" s="772" customFormat="1" ht="15">
      <c r="A85" s="624">
        <v>41</v>
      </c>
      <c r="B85" s="617" t="s">
        <v>103</v>
      </c>
      <c r="C85" s="907" t="s">
        <v>2340</v>
      </c>
      <c r="D85" s="682" t="s">
        <v>2527</v>
      </c>
      <c r="E85" s="767"/>
      <c r="F85" s="693" t="s">
        <v>1996</v>
      </c>
      <c r="G85" s="692" t="s">
        <v>1996</v>
      </c>
      <c r="H85" s="692" t="s">
        <v>1416</v>
      </c>
      <c r="I85" s="878">
        <v>5.8</v>
      </c>
      <c r="J85" s="879">
        <v>197.44800000000001</v>
      </c>
      <c r="K85" s="878">
        <v>450</v>
      </c>
      <c r="L85" s="878">
        <v>25</v>
      </c>
      <c r="M85" s="878">
        <v>0.32797302631578945</v>
      </c>
      <c r="N85" s="878">
        <v>25</v>
      </c>
      <c r="O85" s="878">
        <v>2.31021E-2</v>
      </c>
      <c r="P85" s="878">
        <v>25</v>
      </c>
      <c r="Q85" s="908">
        <v>4.9999999999999998E-7</v>
      </c>
      <c r="R85" s="692" t="s">
        <v>541</v>
      </c>
      <c r="S85" s="879">
        <v>3.77</v>
      </c>
      <c r="T85" s="686">
        <f>10^S85</f>
        <v>5888.4365535558973</v>
      </c>
      <c r="U85" s="694">
        <f>LOG(V85)</f>
        <v>3.4313637641589874</v>
      </c>
      <c r="V85" s="878">
        <v>2700</v>
      </c>
      <c r="W85" s="695"/>
      <c r="X85" s="693"/>
      <c r="Y85" s="692"/>
      <c r="Z85" s="692"/>
      <c r="AA85" s="692"/>
      <c r="AB85" s="692"/>
      <c r="AC85" s="776"/>
      <c r="AD85" s="695"/>
      <c r="AE85" s="693"/>
      <c r="AF85" s="692"/>
      <c r="AG85" s="692"/>
      <c r="AH85" s="692"/>
      <c r="AI85" s="695"/>
      <c r="AJ85" s="696"/>
      <c r="AK85" s="696"/>
      <c r="AL85" s="696"/>
      <c r="AM85" s="696"/>
      <c r="AN85" s="696"/>
      <c r="AO85" s="696"/>
      <c r="AP85" s="696"/>
      <c r="AQ85" s="696"/>
      <c r="AR85" s="696"/>
      <c r="AS85" s="678"/>
      <c r="AT85" s="719"/>
      <c r="AU85" s="697"/>
      <c r="AV85" s="698"/>
      <c r="AW85" s="699"/>
      <c r="AX85" s="698"/>
      <c r="AY85" s="697"/>
      <c r="AZ85" s="699"/>
      <c r="BA85" s="698"/>
      <c r="BB85" s="695"/>
      <c r="BC85" s="700"/>
      <c r="BD85" s="800"/>
      <c r="BE85" s="800"/>
      <c r="BF85" s="800"/>
      <c r="BG85" s="800"/>
      <c r="BH85" s="800"/>
      <c r="BI85" s="800"/>
      <c r="BJ85" s="806"/>
      <c r="BK85" s="804"/>
      <c r="BL85" s="800"/>
      <c r="BM85" s="802"/>
      <c r="BN85" s="870"/>
      <c r="BO85" s="870">
        <v>0.25</v>
      </c>
      <c r="BP85" s="870">
        <v>1</v>
      </c>
    </row>
    <row r="86" spans="1:68" s="772" customFormat="1" ht="63.75">
      <c r="A86" s="681"/>
      <c r="B86" s="692"/>
      <c r="C86" s="910"/>
      <c r="D86" s="682"/>
      <c r="E86" s="767"/>
      <c r="F86" s="693"/>
      <c r="G86" s="692"/>
      <c r="H86" s="692"/>
      <c r="I86" s="885" t="s">
        <v>2341</v>
      </c>
      <c r="J86" s="883" t="s">
        <v>2201</v>
      </c>
      <c r="K86" s="885" t="s">
        <v>2345</v>
      </c>
      <c r="L86" s="885"/>
      <c r="M86" s="885" t="s">
        <v>2346</v>
      </c>
      <c r="N86" s="885"/>
      <c r="O86" s="885" t="s">
        <v>2347</v>
      </c>
      <c r="P86" s="885"/>
      <c r="Q86" s="883" t="s">
        <v>2271</v>
      </c>
      <c r="R86" s="692"/>
      <c r="S86" s="885" t="s">
        <v>2349</v>
      </c>
      <c r="T86" s="686"/>
      <c r="U86" s="694"/>
      <c r="V86" s="885" t="s">
        <v>2351</v>
      </c>
      <c r="W86" s="695"/>
      <c r="X86" s="693"/>
      <c r="Y86" s="692"/>
      <c r="Z86" s="692"/>
      <c r="AA86" s="692"/>
      <c r="AB86" s="692"/>
      <c r="AC86" s="776"/>
      <c r="AD86" s="695"/>
      <c r="AE86" s="693"/>
      <c r="AF86" s="692"/>
      <c r="AG86" s="692"/>
      <c r="AH86" s="692"/>
      <c r="AI86" s="695"/>
      <c r="AJ86" s="696" t="s">
        <v>2221</v>
      </c>
      <c r="AK86" s="696" t="s">
        <v>2221</v>
      </c>
      <c r="AL86" s="696" t="s">
        <v>2221</v>
      </c>
      <c r="AM86" s="696" t="s">
        <v>2221</v>
      </c>
      <c r="AN86" s="696" t="s">
        <v>2221</v>
      </c>
      <c r="AO86" s="696" t="s">
        <v>2221</v>
      </c>
      <c r="AP86" s="696" t="s">
        <v>2221</v>
      </c>
      <c r="AQ86" s="696" t="s">
        <v>2221</v>
      </c>
      <c r="AR86" s="696" t="s">
        <v>2221</v>
      </c>
      <c r="AS86" s="678"/>
      <c r="AT86" s="719"/>
      <c r="AU86" s="697"/>
      <c r="AV86" s="698"/>
      <c r="AW86" s="699"/>
      <c r="AX86" s="698"/>
      <c r="AY86" s="697"/>
      <c r="AZ86" s="699"/>
      <c r="BA86" s="698"/>
      <c r="BB86" s="695"/>
      <c r="BC86" s="691" t="s">
        <v>2220</v>
      </c>
      <c r="BD86" s="691" t="s">
        <v>2220</v>
      </c>
      <c r="BE86" s="691" t="s">
        <v>2220</v>
      </c>
      <c r="BF86" s="691" t="s">
        <v>2220</v>
      </c>
      <c r="BG86" s="691" t="s">
        <v>2220</v>
      </c>
      <c r="BH86" s="691" t="s">
        <v>2220</v>
      </c>
      <c r="BI86" s="691" t="s">
        <v>2220</v>
      </c>
      <c r="BJ86" s="806"/>
      <c r="BK86" s="804"/>
      <c r="BL86" s="800"/>
      <c r="BM86" s="802"/>
      <c r="BN86" s="870" t="s">
        <v>2220</v>
      </c>
      <c r="BO86" s="874" t="s">
        <v>2208</v>
      </c>
      <c r="BP86" s="874" t="s">
        <v>2208</v>
      </c>
    </row>
    <row r="87" spans="1:68" ht="15.75">
      <c r="A87" s="149">
        <v>42</v>
      </c>
      <c r="B87" s="148" t="s">
        <v>104</v>
      </c>
      <c r="C87" s="12" t="s">
        <v>730</v>
      </c>
      <c r="D87" s="869" t="s">
        <v>2528</v>
      </c>
      <c r="E87" s="766"/>
      <c r="F87" s="275"/>
      <c r="G87" s="275"/>
      <c r="H87" s="275"/>
      <c r="I87" s="259">
        <v>6.98</v>
      </c>
      <c r="J87" s="275">
        <v>197.446</v>
      </c>
      <c r="K87" s="258">
        <v>1000</v>
      </c>
      <c r="L87" s="271">
        <v>20</v>
      </c>
      <c r="M87" s="276">
        <v>7.64</v>
      </c>
      <c r="N87" s="271">
        <v>25</v>
      </c>
      <c r="O87" s="276">
        <v>0.52100000000000002</v>
      </c>
      <c r="P87" s="271">
        <v>25</v>
      </c>
      <c r="Q87" s="276">
        <v>4.9999999999999998E-7</v>
      </c>
      <c r="R87" s="276"/>
      <c r="S87" s="270">
        <v>3.7120000000000002</v>
      </c>
      <c r="T87" s="261">
        <f t="shared" si="2"/>
        <v>5152.2864458175727</v>
      </c>
      <c r="U87" s="270">
        <v>3.11</v>
      </c>
      <c r="V87" s="519">
        <f t="shared" si="3"/>
        <v>1288.2495516931347</v>
      </c>
      <c r="W87" s="787"/>
      <c r="X87" s="513"/>
      <c r="Y87" s="276"/>
      <c r="Z87" s="276"/>
      <c r="AA87" s="276"/>
      <c r="AB87" s="276"/>
      <c r="AC87" s="503"/>
      <c r="AD87" s="786"/>
      <c r="AE87" s="513">
        <v>0.1</v>
      </c>
      <c r="AF87" s="258"/>
      <c r="AG87" s="259"/>
      <c r="AH87" s="259"/>
      <c r="AI87" s="684"/>
      <c r="AJ87" s="153"/>
      <c r="AK87" s="153"/>
      <c r="AL87" s="153"/>
      <c r="AM87" s="153"/>
      <c r="AN87" s="153"/>
      <c r="AO87" s="153"/>
      <c r="AP87" s="153"/>
      <c r="AQ87" s="153"/>
      <c r="AR87" s="153"/>
      <c r="AS87" s="810"/>
      <c r="AT87" s="173"/>
      <c r="AU87" s="153"/>
      <c r="AV87" s="156"/>
      <c r="AW87" s="153"/>
      <c r="AX87" s="156"/>
      <c r="AY87" s="153"/>
      <c r="AZ87" s="153"/>
      <c r="BA87" s="156"/>
      <c r="BB87" s="684"/>
      <c r="BC87" s="157"/>
      <c r="BD87" s="521"/>
      <c r="BE87" s="521"/>
      <c r="BF87" s="521"/>
      <c r="BG87" s="521"/>
      <c r="BH87" s="521"/>
      <c r="BI87" s="521"/>
      <c r="BJ87" s="795"/>
      <c r="BK87" s="523"/>
      <c r="BL87" s="521"/>
      <c r="BN87" s="343"/>
      <c r="BO87" s="343"/>
      <c r="BP87" s="343"/>
    </row>
    <row r="88" spans="1:68" ht="242.25">
      <c r="A88" s="149"/>
      <c r="B88" s="177"/>
      <c r="C88" s="172"/>
      <c r="D88" s="679"/>
      <c r="E88" s="766"/>
      <c r="F88" s="277"/>
      <c r="G88" s="277"/>
      <c r="H88" s="277"/>
      <c r="I88" s="274" t="s">
        <v>709</v>
      </c>
      <c r="J88" s="277" t="s">
        <v>680</v>
      </c>
      <c r="K88" s="278" t="s">
        <v>731</v>
      </c>
      <c r="L88" s="279"/>
      <c r="M88" s="265" t="s">
        <v>732</v>
      </c>
      <c r="N88" s="267"/>
      <c r="O88" s="280" t="s">
        <v>733</v>
      </c>
      <c r="P88" s="267"/>
      <c r="Q88" s="268" t="s">
        <v>658</v>
      </c>
      <c r="R88" s="268"/>
      <c r="S88" s="267" t="s">
        <v>734</v>
      </c>
      <c r="T88" s="261"/>
      <c r="U88" s="265" t="s">
        <v>735</v>
      </c>
      <c r="V88" s="519"/>
      <c r="W88" s="678"/>
      <c r="X88" s="514"/>
      <c r="Y88" s="268"/>
      <c r="Z88" s="268"/>
      <c r="AA88" s="268"/>
      <c r="AB88" s="268"/>
      <c r="AC88" s="504"/>
      <c r="AD88" s="678"/>
      <c r="AE88" s="514" t="s">
        <v>736</v>
      </c>
      <c r="AF88" s="268"/>
      <c r="AG88" s="278"/>
      <c r="AH88" s="278"/>
      <c r="AI88" s="714"/>
      <c r="AJ88" s="161"/>
      <c r="AK88" s="161"/>
      <c r="AL88" s="161"/>
      <c r="AM88" s="161"/>
      <c r="AN88" s="161"/>
      <c r="AO88" s="161"/>
      <c r="AP88" s="161"/>
      <c r="AQ88" s="161"/>
      <c r="AR88" s="161"/>
      <c r="AS88" s="678"/>
      <c r="AT88" s="185"/>
      <c r="AU88" s="162"/>
      <c r="AV88" s="163"/>
      <c r="AW88" s="164"/>
      <c r="AX88" s="163"/>
      <c r="AY88" s="162"/>
      <c r="AZ88" s="164"/>
      <c r="BA88" s="163"/>
      <c r="BB88" s="695"/>
      <c r="BC88" s="165"/>
      <c r="BD88" s="522"/>
      <c r="BE88" s="522"/>
      <c r="BF88" s="522"/>
      <c r="BG88" s="522"/>
      <c r="BH88" s="522"/>
      <c r="BI88" s="522"/>
      <c r="BJ88" s="806"/>
      <c r="BK88" s="524"/>
      <c r="BL88" s="522"/>
      <c r="BN88" s="343"/>
      <c r="BO88" s="343"/>
      <c r="BP88" s="343"/>
    </row>
    <row r="89" spans="1:68" ht="15.75">
      <c r="A89" s="149">
        <v>43</v>
      </c>
      <c r="B89" s="150" t="s">
        <v>105</v>
      </c>
      <c r="C89" s="12" t="s">
        <v>730</v>
      </c>
      <c r="D89" s="869" t="s">
        <v>2529</v>
      </c>
      <c r="E89" s="766"/>
      <c r="F89" s="260"/>
      <c r="G89" s="260"/>
      <c r="H89" s="260"/>
      <c r="I89" s="259">
        <v>6.12</v>
      </c>
      <c r="J89" s="260">
        <v>197.446</v>
      </c>
      <c r="K89" s="258">
        <v>410</v>
      </c>
      <c r="L89" s="271">
        <v>19.5</v>
      </c>
      <c r="M89" s="261">
        <v>1.3</v>
      </c>
      <c r="N89" s="262">
        <v>20</v>
      </c>
      <c r="O89" s="264">
        <v>0.42799999999999999</v>
      </c>
      <c r="P89" s="262">
        <v>20</v>
      </c>
      <c r="Q89" s="264">
        <v>4.9999999999999998E-7</v>
      </c>
      <c r="R89" s="264"/>
      <c r="S89" s="261">
        <v>3.5779365940000001</v>
      </c>
      <c r="T89" s="261">
        <f t="shared" si="2"/>
        <v>3783.8733699932318</v>
      </c>
      <c r="U89" s="261">
        <v>2.739496205</v>
      </c>
      <c r="V89" s="519">
        <f t="shared" si="3"/>
        <v>548.90375909464649</v>
      </c>
      <c r="W89" s="787"/>
      <c r="X89" s="275"/>
      <c r="Y89" s="258"/>
      <c r="Z89" s="258"/>
      <c r="AA89" s="258"/>
      <c r="AB89" s="258"/>
      <c r="AC89" s="505"/>
      <c r="AD89" s="787"/>
      <c r="AE89" s="275"/>
      <c r="AF89" s="258"/>
      <c r="AG89" s="259">
        <f>0.00001/0.07</f>
        <v>1.4285714285714287E-4</v>
      </c>
      <c r="AH89" s="259">
        <f>(0.00001/0.00002)*0.001</f>
        <v>5.0000000000000001E-4</v>
      </c>
      <c r="AI89" s="684"/>
      <c r="AJ89" s="153"/>
      <c r="AK89" s="153"/>
      <c r="AL89" s="153"/>
      <c r="AM89" s="153"/>
      <c r="AN89" s="153"/>
      <c r="AO89" s="153"/>
      <c r="AP89" s="153"/>
      <c r="AQ89" s="153"/>
      <c r="AR89" s="153"/>
      <c r="AS89" s="810"/>
      <c r="AT89" s="173"/>
      <c r="AU89" s="153"/>
      <c r="AV89" s="156"/>
      <c r="AW89" s="153"/>
      <c r="AX89" s="156"/>
      <c r="AY89" s="153"/>
      <c r="AZ89" s="153"/>
      <c r="BA89" s="156"/>
      <c r="BB89" s="684"/>
      <c r="BC89" s="157"/>
      <c r="BD89" s="521"/>
      <c r="BE89" s="521"/>
      <c r="BF89" s="521"/>
      <c r="BG89" s="521"/>
      <c r="BH89" s="521"/>
      <c r="BI89" s="521"/>
      <c r="BJ89" s="795"/>
      <c r="BK89" s="523"/>
      <c r="BL89" s="521"/>
      <c r="BN89" s="343"/>
      <c r="BO89" s="343"/>
      <c r="BP89" s="343"/>
    </row>
    <row r="90" spans="1:68" ht="242.25">
      <c r="A90" s="149"/>
      <c r="B90" s="158"/>
      <c r="C90" s="151"/>
      <c r="D90" s="682"/>
      <c r="E90" s="767"/>
      <c r="F90" s="266"/>
      <c r="G90" s="266"/>
      <c r="H90" s="266"/>
      <c r="I90" s="274" t="s">
        <v>709</v>
      </c>
      <c r="J90" s="266" t="s">
        <v>737</v>
      </c>
      <c r="K90" s="267" t="s">
        <v>738</v>
      </c>
      <c r="L90" s="267"/>
      <c r="M90" s="265" t="s">
        <v>739</v>
      </c>
      <c r="N90" s="267"/>
      <c r="O90" s="263" t="s">
        <v>654</v>
      </c>
      <c r="P90" s="267"/>
      <c r="Q90" s="267" t="s">
        <v>658</v>
      </c>
      <c r="R90" s="267"/>
      <c r="S90" s="267" t="s">
        <v>734</v>
      </c>
      <c r="T90" s="261"/>
      <c r="U90" s="265" t="s">
        <v>735</v>
      </c>
      <c r="V90" s="519"/>
      <c r="W90" s="787"/>
      <c r="X90" s="282"/>
      <c r="Y90" s="269"/>
      <c r="Z90" s="269"/>
      <c r="AA90" s="269"/>
      <c r="AB90" s="269"/>
      <c r="AC90" s="506"/>
      <c r="AD90" s="788"/>
      <c r="AE90" s="282"/>
      <c r="AF90" s="269"/>
      <c r="AG90" s="265" t="s">
        <v>740</v>
      </c>
      <c r="AH90" s="265" t="s">
        <v>741</v>
      </c>
      <c r="AI90" s="695"/>
      <c r="AJ90" s="161"/>
      <c r="AK90" s="161"/>
      <c r="AL90" s="161"/>
      <c r="AM90" s="161"/>
      <c r="AN90" s="161"/>
      <c r="AO90" s="161"/>
      <c r="AP90" s="161"/>
      <c r="AQ90" s="161"/>
      <c r="AR90" s="161"/>
      <c r="AS90" s="678"/>
      <c r="AT90" s="185"/>
      <c r="AU90" s="162"/>
      <c r="AV90" s="163"/>
      <c r="AW90" s="164"/>
      <c r="AX90" s="163"/>
      <c r="AY90" s="162"/>
      <c r="AZ90" s="164"/>
      <c r="BA90" s="163"/>
      <c r="BB90" s="695"/>
      <c r="BC90" s="165"/>
      <c r="BD90" s="522"/>
      <c r="BE90" s="522"/>
      <c r="BF90" s="522"/>
      <c r="BG90" s="522"/>
      <c r="BH90" s="522"/>
      <c r="BI90" s="522"/>
      <c r="BJ90" s="806"/>
      <c r="BK90" s="524"/>
      <c r="BL90" s="522"/>
      <c r="BN90" s="193"/>
      <c r="BO90" s="193"/>
      <c r="BP90" s="193"/>
    </row>
    <row r="91" spans="1:68" s="772" customFormat="1" ht="15">
      <c r="A91" s="624">
        <v>44</v>
      </c>
      <c r="B91" s="598" t="s">
        <v>106</v>
      </c>
      <c r="C91" s="907" t="s">
        <v>2340</v>
      </c>
      <c r="D91" s="682" t="s">
        <v>2530</v>
      </c>
      <c r="E91" s="767"/>
      <c r="F91" s="693" t="s">
        <v>1996</v>
      </c>
      <c r="G91" s="693" t="s">
        <v>1996</v>
      </c>
      <c r="H91" s="692" t="s">
        <v>1416</v>
      </c>
      <c r="I91" s="878">
        <v>7.84</v>
      </c>
      <c r="J91" s="878">
        <v>197.446</v>
      </c>
      <c r="K91" s="878">
        <v>64.489999999999995</v>
      </c>
      <c r="L91" s="878">
        <v>25</v>
      </c>
      <c r="M91" s="878">
        <v>0.32797302631578945</v>
      </c>
      <c r="N91" s="878">
        <v>25</v>
      </c>
      <c r="O91" s="878">
        <v>2.31021E-2</v>
      </c>
      <c r="P91" s="878">
        <v>25</v>
      </c>
      <c r="Q91" s="908">
        <v>4.9999999999999998E-7</v>
      </c>
      <c r="R91" s="694" t="s">
        <v>541</v>
      </c>
      <c r="S91" s="878">
        <v>4.01</v>
      </c>
      <c r="T91" s="686">
        <f>10^S91</f>
        <v>10232.929922807549</v>
      </c>
      <c r="U91" s="692">
        <f>LOG(V91)</f>
        <v>3.2496874278053016</v>
      </c>
      <c r="V91" s="878">
        <v>1777</v>
      </c>
      <c r="W91" s="787"/>
      <c r="X91" s="711"/>
      <c r="Y91" s="698"/>
      <c r="Z91" s="698"/>
      <c r="AA91" s="698"/>
      <c r="AB91" s="698"/>
      <c r="AC91" s="777"/>
      <c r="AD91" s="788"/>
      <c r="AE91" s="711"/>
      <c r="AF91" s="698"/>
      <c r="AG91" s="692"/>
      <c r="AH91" s="692"/>
      <c r="AI91" s="695"/>
      <c r="AJ91" s="696"/>
      <c r="AK91" s="696"/>
      <c r="AL91" s="696"/>
      <c r="AM91" s="696"/>
      <c r="AN91" s="696"/>
      <c r="AO91" s="696"/>
      <c r="AP91" s="696"/>
      <c r="AQ91" s="696"/>
      <c r="AR91" s="696"/>
      <c r="AS91" s="678"/>
      <c r="AT91" s="719"/>
      <c r="AU91" s="697"/>
      <c r="AV91" s="698"/>
      <c r="AW91" s="699"/>
      <c r="AX91" s="698"/>
      <c r="AY91" s="697"/>
      <c r="AZ91" s="699"/>
      <c r="BA91" s="698"/>
      <c r="BB91" s="695"/>
      <c r="BC91" s="700"/>
      <c r="BD91" s="800"/>
      <c r="BE91" s="800"/>
      <c r="BF91" s="800"/>
      <c r="BG91" s="800"/>
      <c r="BH91" s="800"/>
      <c r="BI91" s="800"/>
      <c r="BJ91" s="806"/>
      <c r="BK91" s="804"/>
      <c r="BL91" s="800"/>
      <c r="BM91" s="802"/>
      <c r="BN91" s="870"/>
      <c r="BO91" s="870">
        <v>0.25</v>
      </c>
      <c r="BP91" s="870">
        <v>1</v>
      </c>
    </row>
    <row r="92" spans="1:68" s="772" customFormat="1" ht="76.5">
      <c r="A92" s="681"/>
      <c r="B92" s="692"/>
      <c r="C92" s="682"/>
      <c r="D92" s="682"/>
      <c r="E92" s="767"/>
      <c r="F92" s="693"/>
      <c r="G92" s="693"/>
      <c r="H92" s="692"/>
      <c r="I92" s="885" t="s">
        <v>2352</v>
      </c>
      <c r="J92" s="883" t="s">
        <v>2201</v>
      </c>
      <c r="K92" s="885" t="s">
        <v>2353</v>
      </c>
      <c r="L92" s="885"/>
      <c r="M92" s="885" t="s">
        <v>2354</v>
      </c>
      <c r="N92" s="885"/>
      <c r="O92" s="885" t="s">
        <v>2355</v>
      </c>
      <c r="P92" s="885"/>
      <c r="Q92" s="883" t="s">
        <v>2271</v>
      </c>
      <c r="R92" s="694"/>
      <c r="S92" s="885" t="s">
        <v>2356</v>
      </c>
      <c r="T92" s="686"/>
      <c r="U92" s="692"/>
      <c r="V92" s="885" t="s">
        <v>2357</v>
      </c>
      <c r="W92" s="787"/>
      <c r="X92" s="711"/>
      <c r="Y92" s="698"/>
      <c r="Z92" s="698"/>
      <c r="AA92" s="698"/>
      <c r="AB92" s="698"/>
      <c r="AC92" s="777"/>
      <c r="AD92" s="788"/>
      <c r="AE92" s="711"/>
      <c r="AF92" s="698"/>
      <c r="AG92" s="692"/>
      <c r="AH92" s="692"/>
      <c r="AI92" s="695"/>
      <c r="AJ92" s="696" t="s">
        <v>2221</v>
      </c>
      <c r="AK92" s="696" t="s">
        <v>2221</v>
      </c>
      <c r="AL92" s="696" t="s">
        <v>2221</v>
      </c>
      <c r="AM92" s="696" t="s">
        <v>2221</v>
      </c>
      <c r="AN92" s="696" t="s">
        <v>2221</v>
      </c>
      <c r="AO92" s="696" t="s">
        <v>2221</v>
      </c>
      <c r="AP92" s="696" t="s">
        <v>2221</v>
      </c>
      <c r="AQ92" s="696" t="s">
        <v>2221</v>
      </c>
      <c r="AR92" s="696" t="s">
        <v>2221</v>
      </c>
      <c r="AS92" s="678"/>
      <c r="AT92" s="719"/>
      <c r="AU92" s="697"/>
      <c r="AV92" s="698"/>
      <c r="AW92" s="699"/>
      <c r="AX92" s="698"/>
      <c r="AY92" s="697"/>
      <c r="AZ92" s="699"/>
      <c r="BA92" s="698"/>
      <c r="BB92" s="695"/>
      <c r="BC92" s="691" t="s">
        <v>2220</v>
      </c>
      <c r="BD92" s="691" t="s">
        <v>2220</v>
      </c>
      <c r="BE92" s="691" t="s">
        <v>2220</v>
      </c>
      <c r="BF92" s="691" t="s">
        <v>2220</v>
      </c>
      <c r="BG92" s="691" t="s">
        <v>2220</v>
      </c>
      <c r="BH92" s="691" t="s">
        <v>2220</v>
      </c>
      <c r="BI92" s="691" t="s">
        <v>2220</v>
      </c>
      <c r="BJ92" s="806"/>
      <c r="BK92" s="804"/>
      <c r="BL92" s="800"/>
      <c r="BM92" s="802"/>
      <c r="BN92" s="870" t="s">
        <v>2220</v>
      </c>
      <c r="BO92" s="874" t="s">
        <v>2208</v>
      </c>
      <c r="BP92" s="874" t="s">
        <v>2208</v>
      </c>
    </row>
    <row r="93" spans="1:68" s="772" customFormat="1" ht="25.5">
      <c r="A93" s="681">
        <v>45</v>
      </c>
      <c r="B93" s="911" t="s">
        <v>107</v>
      </c>
      <c r="C93" s="907" t="s">
        <v>2326</v>
      </c>
      <c r="D93" s="682" t="s">
        <v>2531</v>
      </c>
      <c r="E93" s="767"/>
      <c r="F93" s="693" t="s">
        <v>1996</v>
      </c>
      <c r="G93" s="693" t="s">
        <v>1996</v>
      </c>
      <c r="H93" s="692" t="s">
        <v>1416</v>
      </c>
      <c r="I93" s="879">
        <v>4.7</v>
      </c>
      <c r="J93" s="879">
        <v>231.89099999999999</v>
      </c>
      <c r="K93" s="879">
        <v>28.7</v>
      </c>
      <c r="L93" s="879">
        <v>25</v>
      </c>
      <c r="M93" s="879">
        <v>4.5196282894736838E-2</v>
      </c>
      <c r="N93" s="879">
        <v>25</v>
      </c>
      <c r="O93" s="879">
        <v>0.14000000000000001</v>
      </c>
      <c r="P93" s="879">
        <v>25</v>
      </c>
      <c r="Q93" s="912">
        <v>9.9999999999999995E-7</v>
      </c>
      <c r="R93" s="694" t="s">
        <v>541</v>
      </c>
      <c r="S93" s="879">
        <v>4.21</v>
      </c>
      <c r="T93" s="686">
        <f>10^S93</f>
        <v>16218.100973589309</v>
      </c>
      <c r="U93" s="692">
        <f>LOG(V93)</f>
        <v>3.4726101975960448</v>
      </c>
      <c r="V93" s="879">
        <v>2969</v>
      </c>
      <c r="W93" s="787"/>
      <c r="X93" s="711"/>
      <c r="Y93" s="698"/>
      <c r="Z93" s="698"/>
      <c r="AA93" s="698"/>
      <c r="AB93" s="698"/>
      <c r="AC93" s="777"/>
      <c r="AD93" s="788"/>
      <c r="AE93" s="711"/>
      <c r="AF93" s="698"/>
      <c r="AG93" s="692"/>
      <c r="AH93" s="692"/>
      <c r="AI93" s="695"/>
      <c r="AJ93" s="696"/>
      <c r="AK93" s="696"/>
      <c r="AL93" s="696"/>
      <c r="AM93" s="696"/>
      <c r="AN93" s="696"/>
      <c r="AO93" s="696"/>
      <c r="AP93" s="696"/>
      <c r="AQ93" s="696"/>
      <c r="AR93" s="696"/>
      <c r="AS93" s="678"/>
      <c r="AT93" s="719"/>
      <c r="AU93" s="697"/>
      <c r="AV93" s="698"/>
      <c r="AW93" s="699"/>
      <c r="AX93" s="698"/>
      <c r="AY93" s="697"/>
      <c r="AZ93" s="699"/>
      <c r="BA93" s="698"/>
      <c r="BB93" s="695"/>
      <c r="BC93" s="700"/>
      <c r="BD93" s="800"/>
      <c r="BE93" s="800"/>
      <c r="BF93" s="800"/>
      <c r="BG93" s="800"/>
      <c r="BH93" s="800"/>
      <c r="BI93" s="800"/>
      <c r="BJ93" s="806"/>
      <c r="BK93" s="804"/>
      <c r="BL93" s="800"/>
      <c r="BM93" s="802"/>
      <c r="BN93" s="870"/>
      <c r="BO93" s="870">
        <v>0.25</v>
      </c>
      <c r="BP93" s="870">
        <v>0.9</v>
      </c>
    </row>
    <row r="94" spans="1:68" s="772" customFormat="1" ht="102">
      <c r="A94" s="681"/>
      <c r="B94" s="692"/>
      <c r="C94" s="683"/>
      <c r="D94" s="682"/>
      <c r="E94" s="767"/>
      <c r="F94" s="693"/>
      <c r="G94" s="693"/>
      <c r="H94" s="692"/>
      <c r="I94" s="883" t="s">
        <v>2327</v>
      </c>
      <c r="J94" s="904" t="s">
        <v>2211</v>
      </c>
      <c r="K94" s="883" t="s">
        <v>2328</v>
      </c>
      <c r="L94" s="883"/>
      <c r="M94" s="883" t="s">
        <v>2329</v>
      </c>
      <c r="N94" s="883"/>
      <c r="O94" s="883" t="s">
        <v>2330</v>
      </c>
      <c r="P94" s="883"/>
      <c r="Q94" s="883" t="s">
        <v>2271</v>
      </c>
      <c r="R94" s="694"/>
      <c r="S94" s="883" t="s">
        <v>2331</v>
      </c>
      <c r="T94" s="686"/>
      <c r="U94" s="692"/>
      <c r="V94" s="883" t="s">
        <v>2332</v>
      </c>
      <c r="W94" s="787"/>
      <c r="X94" s="711"/>
      <c r="Y94" s="698"/>
      <c r="Z94" s="698"/>
      <c r="AA94" s="698"/>
      <c r="AB94" s="698"/>
      <c r="AC94" s="777"/>
      <c r="AD94" s="788"/>
      <c r="AE94" s="711"/>
      <c r="AF94" s="698"/>
      <c r="AG94" s="692"/>
      <c r="AH94" s="692"/>
      <c r="AI94" s="695"/>
      <c r="AJ94" s="696" t="s">
        <v>2221</v>
      </c>
      <c r="AK94" s="696" t="s">
        <v>2221</v>
      </c>
      <c r="AL94" s="696" t="s">
        <v>2221</v>
      </c>
      <c r="AM94" s="696" t="s">
        <v>2221</v>
      </c>
      <c r="AN94" s="696" t="s">
        <v>2221</v>
      </c>
      <c r="AO94" s="696" t="s">
        <v>2221</v>
      </c>
      <c r="AP94" s="696" t="s">
        <v>2221</v>
      </c>
      <c r="AQ94" s="696" t="s">
        <v>2221</v>
      </c>
      <c r="AR94" s="696" t="s">
        <v>2221</v>
      </c>
      <c r="AS94" s="678"/>
      <c r="AT94" s="719"/>
      <c r="AU94" s="697"/>
      <c r="AV94" s="698"/>
      <c r="AW94" s="699"/>
      <c r="AX94" s="698"/>
      <c r="AY94" s="697"/>
      <c r="AZ94" s="699"/>
      <c r="BA94" s="698"/>
      <c r="BB94" s="695"/>
      <c r="BC94" s="691" t="s">
        <v>2220</v>
      </c>
      <c r="BD94" s="691" t="s">
        <v>2220</v>
      </c>
      <c r="BE94" s="691" t="s">
        <v>2220</v>
      </c>
      <c r="BF94" s="691" t="s">
        <v>2220</v>
      </c>
      <c r="BG94" s="691" t="s">
        <v>2220</v>
      </c>
      <c r="BH94" s="691" t="s">
        <v>2220</v>
      </c>
      <c r="BI94" s="691" t="s">
        <v>2220</v>
      </c>
      <c r="BJ94" s="806"/>
      <c r="BK94" s="804"/>
      <c r="BL94" s="800"/>
      <c r="BM94" s="802"/>
      <c r="BN94" s="870" t="s">
        <v>2220</v>
      </c>
      <c r="BO94" s="874" t="s">
        <v>2208</v>
      </c>
      <c r="BP94" s="874" t="s">
        <v>2333</v>
      </c>
    </row>
    <row r="95" spans="1:68" ht="25.5">
      <c r="A95" s="149">
        <v>46</v>
      </c>
      <c r="B95" s="180" t="s">
        <v>108</v>
      </c>
      <c r="C95" s="151" t="s">
        <v>742</v>
      </c>
      <c r="D95" s="682" t="s">
        <v>2532</v>
      </c>
      <c r="E95" s="767"/>
      <c r="F95" s="260"/>
      <c r="G95" s="260"/>
      <c r="H95" s="260"/>
      <c r="I95" s="258">
        <v>5.4</v>
      </c>
      <c r="J95" s="260">
        <v>231.89099999999999</v>
      </c>
      <c r="K95" s="264">
        <v>170</v>
      </c>
      <c r="L95" s="262">
        <v>25</v>
      </c>
      <c r="M95" s="276">
        <v>0.81</v>
      </c>
      <c r="N95" s="271">
        <v>25</v>
      </c>
      <c r="O95" s="276">
        <v>0.3548</v>
      </c>
      <c r="P95" s="271">
        <v>25</v>
      </c>
      <c r="Q95" s="276">
        <v>9.9999999999999995E-7</v>
      </c>
      <c r="R95" s="276"/>
      <c r="S95" s="258">
        <v>4.3338000000000001</v>
      </c>
      <c r="T95" s="261">
        <f t="shared" si="2"/>
        <v>21567.509598981676</v>
      </c>
      <c r="U95" s="258">
        <v>3.2450000000000001</v>
      </c>
      <c r="V95" s="519">
        <f t="shared" si="3"/>
        <v>1757.9236139586944</v>
      </c>
      <c r="W95" s="787"/>
      <c r="X95" s="513"/>
      <c r="Y95" s="276"/>
      <c r="Z95" s="276"/>
      <c r="AA95" s="276"/>
      <c r="AB95" s="276"/>
      <c r="AC95" s="503"/>
      <c r="AD95" s="786"/>
      <c r="AE95" s="513">
        <v>0.01</v>
      </c>
      <c r="AF95" s="258"/>
      <c r="AG95" s="259"/>
      <c r="AH95" s="259"/>
      <c r="AI95" s="684"/>
      <c r="AJ95" s="153"/>
      <c r="AK95" s="153"/>
      <c r="AL95" s="153"/>
      <c r="AM95" s="153"/>
      <c r="AN95" s="153"/>
      <c r="AO95" s="153"/>
      <c r="AP95" s="153"/>
      <c r="AQ95" s="153"/>
      <c r="AR95" s="153"/>
      <c r="AS95" s="810"/>
      <c r="AT95" s="173"/>
      <c r="AU95" s="153"/>
      <c r="AV95" s="156"/>
      <c r="AW95" s="153"/>
      <c r="AX95" s="156"/>
      <c r="AY95" s="153"/>
      <c r="AZ95" s="153"/>
      <c r="BA95" s="156"/>
      <c r="BB95" s="684"/>
      <c r="BC95" s="157"/>
      <c r="BD95" s="521"/>
      <c r="BE95" s="521"/>
      <c r="BF95" s="521"/>
      <c r="BG95" s="521"/>
      <c r="BH95" s="521"/>
      <c r="BI95" s="521"/>
      <c r="BJ95" s="795"/>
      <c r="BK95" s="523"/>
      <c r="BL95" s="521"/>
      <c r="BN95" s="193"/>
      <c r="BO95" s="193"/>
      <c r="BP95" s="193"/>
    </row>
    <row r="96" spans="1:68" ht="242.25">
      <c r="A96" s="149"/>
      <c r="B96" s="158"/>
      <c r="C96" s="151"/>
      <c r="D96" s="150"/>
      <c r="E96" s="767"/>
      <c r="F96" s="266"/>
      <c r="G96" s="266"/>
      <c r="H96" s="266"/>
      <c r="I96" s="274" t="s">
        <v>709</v>
      </c>
      <c r="J96" s="266" t="s">
        <v>737</v>
      </c>
      <c r="K96" s="265" t="s">
        <v>743</v>
      </c>
      <c r="L96" s="267"/>
      <c r="M96" s="265" t="s">
        <v>744</v>
      </c>
      <c r="N96" s="267"/>
      <c r="O96" s="263" t="s">
        <v>654</v>
      </c>
      <c r="P96" s="267"/>
      <c r="Q96" s="268" t="s">
        <v>658</v>
      </c>
      <c r="R96" s="268"/>
      <c r="S96" s="267" t="s">
        <v>745</v>
      </c>
      <c r="T96" s="261"/>
      <c r="U96" s="265" t="s">
        <v>735</v>
      </c>
      <c r="V96" s="519"/>
      <c r="W96" s="788"/>
      <c r="X96" s="282"/>
      <c r="Y96" s="269"/>
      <c r="Z96" s="269"/>
      <c r="AA96" s="269"/>
      <c r="AB96" s="269"/>
      <c r="AC96" s="506"/>
      <c r="AD96" s="788"/>
      <c r="AE96" s="282" t="s">
        <v>746</v>
      </c>
      <c r="AF96" s="269"/>
      <c r="AG96" s="265"/>
      <c r="AH96" s="265"/>
      <c r="AI96" s="695"/>
      <c r="AJ96" s="161"/>
      <c r="AK96" s="161"/>
      <c r="AL96" s="161"/>
      <c r="AM96" s="161"/>
      <c r="AN96" s="161"/>
      <c r="AO96" s="161"/>
      <c r="AP96" s="161"/>
      <c r="AQ96" s="161"/>
      <c r="AR96" s="161"/>
      <c r="AS96" s="678"/>
      <c r="AT96" s="185"/>
      <c r="AU96" s="162"/>
      <c r="AV96" s="163"/>
      <c r="AW96" s="164"/>
      <c r="AX96" s="163"/>
      <c r="AY96" s="162"/>
      <c r="AZ96" s="164"/>
      <c r="BA96" s="163"/>
      <c r="BB96" s="695"/>
      <c r="BC96" s="165"/>
      <c r="BD96" s="522"/>
      <c r="BE96" s="522"/>
      <c r="BF96" s="522"/>
      <c r="BG96" s="522"/>
      <c r="BH96" s="522"/>
      <c r="BI96" s="522"/>
      <c r="BJ96" s="806"/>
      <c r="BK96" s="524"/>
      <c r="BL96" s="522"/>
      <c r="BN96" s="193"/>
      <c r="BO96" s="193"/>
      <c r="BP96" s="193"/>
    </row>
    <row r="97" spans="1:68" s="772" customFormat="1" ht="30">
      <c r="A97" s="624">
        <v>47</v>
      </c>
      <c r="B97" s="617" t="s">
        <v>341</v>
      </c>
      <c r="C97" s="907" t="s">
        <v>2326</v>
      </c>
      <c r="D97" s="907" t="s">
        <v>2533</v>
      </c>
      <c r="E97" s="767"/>
      <c r="F97" s="693" t="s">
        <v>1996</v>
      </c>
      <c r="G97" s="693" t="s">
        <v>1996</v>
      </c>
      <c r="H97" s="692" t="s">
        <v>1416</v>
      </c>
      <c r="I97" s="879">
        <v>5.14</v>
      </c>
      <c r="J97" s="879">
        <v>231.89099999999999</v>
      </c>
      <c r="K97" s="879">
        <v>54.9</v>
      </c>
      <c r="L97" s="879">
        <v>25</v>
      </c>
      <c r="M97" s="879">
        <v>4.5196282894736838E-2</v>
      </c>
      <c r="N97" s="879">
        <v>25</v>
      </c>
      <c r="O97" s="879">
        <v>1.7123924999999998E-2</v>
      </c>
      <c r="P97" s="879"/>
      <c r="Q97" s="912">
        <v>9.9999999999999995E-7</v>
      </c>
      <c r="R97" s="696" t="s">
        <v>541</v>
      </c>
      <c r="S97" s="879">
        <v>3.88</v>
      </c>
      <c r="T97" s="686">
        <f>10^S97</f>
        <v>7585.7757502918394</v>
      </c>
      <c r="U97" s="692">
        <f>LOG(V97)</f>
        <v>3.4726101975960448</v>
      </c>
      <c r="V97" s="879">
        <v>2969</v>
      </c>
      <c r="W97" s="788"/>
      <c r="X97" s="711"/>
      <c r="Y97" s="698"/>
      <c r="Z97" s="698"/>
      <c r="AA97" s="698"/>
      <c r="AB97" s="698"/>
      <c r="AC97" s="777"/>
      <c r="AD97" s="788"/>
      <c r="AE97" s="711"/>
      <c r="AF97" s="698"/>
      <c r="AG97" s="692"/>
      <c r="AH97" s="692"/>
      <c r="AI97" s="695"/>
      <c r="AJ97" s="696"/>
      <c r="AK97" s="696"/>
      <c r="AL97" s="696"/>
      <c r="AM97" s="696"/>
      <c r="AN97" s="696"/>
      <c r="AO97" s="696"/>
      <c r="AP97" s="696"/>
      <c r="AQ97" s="696"/>
      <c r="AR97" s="696"/>
      <c r="AS97" s="678"/>
      <c r="AT97" s="719"/>
      <c r="AU97" s="697"/>
      <c r="AV97" s="698"/>
      <c r="AW97" s="699"/>
      <c r="AX97" s="698"/>
      <c r="AY97" s="697"/>
      <c r="AZ97" s="699"/>
      <c r="BA97" s="698"/>
      <c r="BB97" s="695"/>
      <c r="BC97" s="700"/>
      <c r="BD97" s="800"/>
      <c r="BE97" s="800"/>
      <c r="BF97" s="800"/>
      <c r="BG97" s="800"/>
      <c r="BH97" s="800"/>
      <c r="BI97" s="800"/>
      <c r="BJ97" s="806"/>
      <c r="BK97" s="804"/>
      <c r="BL97" s="800"/>
      <c r="BM97" s="802"/>
      <c r="BN97" s="870"/>
      <c r="BO97" s="870">
        <v>0.25</v>
      </c>
      <c r="BP97" s="870">
        <v>1</v>
      </c>
    </row>
    <row r="98" spans="1:68" s="772" customFormat="1" ht="89.25">
      <c r="A98" s="681"/>
      <c r="B98" s="692"/>
      <c r="C98" s="683"/>
      <c r="D98" s="682"/>
      <c r="E98" s="767"/>
      <c r="F98" s="693"/>
      <c r="G98" s="693"/>
      <c r="H98" s="692"/>
      <c r="I98" s="883" t="s">
        <v>2334</v>
      </c>
      <c r="J98" s="904" t="s">
        <v>2211</v>
      </c>
      <c r="K98" s="883" t="s">
        <v>2335</v>
      </c>
      <c r="L98" s="883"/>
      <c r="M98" s="883" t="s">
        <v>2336</v>
      </c>
      <c r="N98" s="883"/>
      <c r="O98" s="883" t="s">
        <v>2337</v>
      </c>
      <c r="P98" s="883"/>
      <c r="Q98" s="883" t="s">
        <v>2271</v>
      </c>
      <c r="R98" s="696"/>
      <c r="S98" s="883" t="s">
        <v>2338</v>
      </c>
      <c r="T98" s="686"/>
      <c r="U98" s="692"/>
      <c r="V98" s="883" t="s">
        <v>2339</v>
      </c>
      <c r="W98" s="788"/>
      <c r="X98" s="711"/>
      <c r="Y98" s="698"/>
      <c r="Z98" s="698"/>
      <c r="AA98" s="698"/>
      <c r="AB98" s="698"/>
      <c r="AC98" s="777"/>
      <c r="AD98" s="788"/>
      <c r="AE98" s="711"/>
      <c r="AF98" s="698"/>
      <c r="AG98" s="692"/>
      <c r="AH98" s="692"/>
      <c r="AI98" s="695"/>
      <c r="AJ98" s="696" t="s">
        <v>2221</v>
      </c>
      <c r="AK98" s="696" t="s">
        <v>2221</v>
      </c>
      <c r="AL98" s="696" t="s">
        <v>2221</v>
      </c>
      <c r="AM98" s="696" t="s">
        <v>2221</v>
      </c>
      <c r="AN98" s="696" t="s">
        <v>2221</v>
      </c>
      <c r="AO98" s="696" t="s">
        <v>2221</v>
      </c>
      <c r="AP98" s="696" t="s">
        <v>2221</v>
      </c>
      <c r="AQ98" s="696" t="s">
        <v>2221</v>
      </c>
      <c r="AR98" s="696" t="s">
        <v>2221</v>
      </c>
      <c r="AS98" s="678"/>
      <c r="AT98" s="719"/>
      <c r="AU98" s="697"/>
      <c r="AV98" s="698"/>
      <c r="AW98" s="699"/>
      <c r="AX98" s="698"/>
      <c r="AY98" s="697"/>
      <c r="AZ98" s="699"/>
      <c r="BA98" s="698"/>
      <c r="BB98" s="695"/>
      <c r="BC98" s="691" t="s">
        <v>2220</v>
      </c>
      <c r="BD98" s="691" t="s">
        <v>2220</v>
      </c>
      <c r="BE98" s="691" t="s">
        <v>2220</v>
      </c>
      <c r="BF98" s="691" t="s">
        <v>2220</v>
      </c>
      <c r="BG98" s="691" t="s">
        <v>2220</v>
      </c>
      <c r="BH98" s="691" t="s">
        <v>2220</v>
      </c>
      <c r="BI98" s="691" t="s">
        <v>2220</v>
      </c>
      <c r="BJ98" s="806"/>
      <c r="BK98" s="804"/>
      <c r="BL98" s="800"/>
      <c r="BM98" s="802"/>
      <c r="BN98" s="870" t="s">
        <v>2220</v>
      </c>
      <c r="BO98" s="874" t="s">
        <v>2208</v>
      </c>
      <c r="BP98" s="874" t="s">
        <v>2208</v>
      </c>
    </row>
    <row r="99" spans="1:68" s="772" customFormat="1">
      <c r="A99" s="681">
        <v>48</v>
      </c>
      <c r="B99" s="682" t="s">
        <v>67</v>
      </c>
      <c r="C99" s="683" t="s">
        <v>749</v>
      </c>
      <c r="D99" s="682" t="s">
        <v>2078</v>
      </c>
      <c r="E99" s="767"/>
      <c r="F99" s="685" t="s">
        <v>1996</v>
      </c>
      <c r="G99" s="679" t="s">
        <v>1997</v>
      </c>
      <c r="H99" s="679" t="s">
        <v>541</v>
      </c>
      <c r="I99" s="679" t="s">
        <v>541</v>
      </c>
      <c r="J99" s="685">
        <v>64.513999999999996</v>
      </c>
      <c r="K99" s="689">
        <v>6710</v>
      </c>
      <c r="L99" s="687">
        <v>25</v>
      </c>
      <c r="M99" s="710">
        <f>1008*133.3224</f>
        <v>134388.9792</v>
      </c>
      <c r="N99" s="702">
        <v>20</v>
      </c>
      <c r="O99" s="710">
        <v>769</v>
      </c>
      <c r="P99" s="702">
        <v>10</v>
      </c>
      <c r="Q99" s="710" t="s">
        <v>541</v>
      </c>
      <c r="R99" s="710" t="s">
        <v>541</v>
      </c>
      <c r="S99" s="679">
        <v>1.43</v>
      </c>
      <c r="T99" s="686">
        <f>10^S99</f>
        <v>26.915348039269158</v>
      </c>
      <c r="U99" s="679">
        <v>1.4</v>
      </c>
      <c r="V99" s="790">
        <f>10^U99</f>
        <v>25.118864315095799</v>
      </c>
      <c r="W99" s="787"/>
      <c r="X99" s="781">
        <v>10</v>
      </c>
      <c r="Y99" s="710">
        <v>0.1</v>
      </c>
      <c r="Z99" s="710">
        <v>0.1</v>
      </c>
      <c r="AA99" s="710"/>
      <c r="AB99" s="710"/>
      <c r="AC99" s="778"/>
      <c r="AD99" s="786"/>
      <c r="AE99" s="781"/>
      <c r="AF99" s="679"/>
      <c r="AG99" s="682"/>
      <c r="AH99" s="682"/>
      <c r="AI99" s="684"/>
      <c r="AJ99" s="686"/>
      <c r="AK99" s="686"/>
      <c r="AL99" s="686"/>
      <c r="AM99" s="686"/>
      <c r="AN99" s="686"/>
      <c r="AO99" s="686"/>
      <c r="AP99" s="686"/>
      <c r="AQ99" s="686"/>
      <c r="AR99" s="686"/>
      <c r="AS99" s="810"/>
      <c r="AT99" s="709"/>
      <c r="AU99" s="686"/>
      <c r="AV99" s="686"/>
      <c r="AW99" s="686"/>
      <c r="AX99" s="689"/>
      <c r="AY99" s="686"/>
      <c r="AZ99" s="686"/>
      <c r="BA99" s="686"/>
      <c r="BB99" s="684"/>
      <c r="BC99" s="691"/>
      <c r="BD99" s="799"/>
      <c r="BE99" s="799"/>
      <c r="BF99" s="799"/>
      <c r="BG99" s="799"/>
      <c r="BH99" s="799">
        <v>0</v>
      </c>
      <c r="BI99" s="799">
        <v>0</v>
      </c>
      <c r="BJ99" s="795"/>
      <c r="BK99" s="803"/>
      <c r="BL99" s="799"/>
      <c r="BM99" s="802"/>
      <c r="BN99" s="869"/>
      <c r="BO99" s="869">
        <v>0.25</v>
      </c>
      <c r="BP99" s="869">
        <v>1</v>
      </c>
    </row>
    <row r="100" spans="1:68" s="772" customFormat="1" ht="127.5">
      <c r="A100" s="681"/>
      <c r="B100" s="692"/>
      <c r="C100" s="683"/>
      <c r="D100" s="682"/>
      <c r="E100" s="767"/>
      <c r="F100" s="693"/>
      <c r="G100" s="693"/>
      <c r="H100" s="693"/>
      <c r="I100" s="699" t="s">
        <v>541</v>
      </c>
      <c r="J100" s="693" t="s">
        <v>2080</v>
      </c>
      <c r="K100" s="692" t="s">
        <v>2081</v>
      </c>
      <c r="L100" s="694" t="s">
        <v>2009</v>
      </c>
      <c r="M100" s="692" t="s">
        <v>2082</v>
      </c>
      <c r="N100" s="694" t="s">
        <v>2009</v>
      </c>
      <c r="O100" s="688" t="s">
        <v>2083</v>
      </c>
      <c r="P100" s="694" t="s">
        <v>2011</v>
      </c>
      <c r="Q100" s="696" t="s">
        <v>2012</v>
      </c>
      <c r="R100" s="696"/>
      <c r="S100" s="694" t="s">
        <v>2084</v>
      </c>
      <c r="T100" s="686"/>
      <c r="U100" s="696" t="s">
        <v>2085</v>
      </c>
      <c r="V100" s="790"/>
      <c r="W100" s="788"/>
      <c r="X100" s="711" t="s">
        <v>2133</v>
      </c>
      <c r="Y100" s="698" t="s">
        <v>2134</v>
      </c>
      <c r="Z100" s="698" t="s">
        <v>2134</v>
      </c>
      <c r="AA100" s="698"/>
      <c r="AB100" s="698"/>
      <c r="AC100" s="777"/>
      <c r="AD100" s="788"/>
      <c r="AE100" s="711"/>
      <c r="AF100" s="698"/>
      <c r="AG100" s="692"/>
      <c r="AH100" s="692"/>
      <c r="AI100" s="695"/>
      <c r="AJ100" s="696" t="s">
        <v>2141</v>
      </c>
      <c r="AK100" s="697" t="s">
        <v>2141</v>
      </c>
      <c r="AL100" s="697" t="s">
        <v>2141</v>
      </c>
      <c r="AM100" s="697" t="s">
        <v>2141</v>
      </c>
      <c r="AN100" s="697" t="s">
        <v>2141</v>
      </c>
      <c r="AO100" s="697" t="s">
        <v>2141</v>
      </c>
      <c r="AP100" s="697" t="s">
        <v>2141</v>
      </c>
      <c r="AQ100" s="697" t="s">
        <v>2141</v>
      </c>
      <c r="AR100" s="697" t="s">
        <v>2141</v>
      </c>
      <c r="AS100" s="811"/>
      <c r="AT100" s="808"/>
      <c r="AU100" s="697"/>
      <c r="AV100" s="699"/>
      <c r="AW100" s="699"/>
      <c r="AX100" s="699"/>
      <c r="AY100" s="697"/>
      <c r="AZ100" s="699"/>
      <c r="BA100" s="697"/>
      <c r="BB100" s="695"/>
      <c r="BC100" s="871" t="s">
        <v>2141</v>
      </c>
      <c r="BD100" s="871" t="s">
        <v>2141</v>
      </c>
      <c r="BE100" s="871" t="s">
        <v>2141</v>
      </c>
      <c r="BF100" s="871" t="s">
        <v>2141</v>
      </c>
      <c r="BG100" s="871" t="s">
        <v>2141</v>
      </c>
      <c r="BH100" s="872" t="s">
        <v>2158</v>
      </c>
      <c r="BI100" s="872" t="s">
        <v>2158</v>
      </c>
      <c r="BJ100" s="806"/>
      <c r="BK100" s="804"/>
      <c r="BL100" s="800"/>
      <c r="BM100" s="802"/>
      <c r="BN100" s="869" t="s">
        <v>2141</v>
      </c>
      <c r="BO100" s="869" t="s">
        <v>2145</v>
      </c>
      <c r="BP100" s="873" t="s">
        <v>2034</v>
      </c>
    </row>
    <row r="101" spans="1:68" s="772" customFormat="1">
      <c r="A101" s="681">
        <v>49</v>
      </c>
      <c r="B101" s="682" t="s">
        <v>69</v>
      </c>
      <c r="C101" s="683" t="s">
        <v>750</v>
      </c>
      <c r="D101" s="682" t="s">
        <v>2079</v>
      </c>
      <c r="E101" s="767"/>
      <c r="F101" s="685" t="s">
        <v>1996</v>
      </c>
      <c r="G101" s="679" t="s">
        <v>1997</v>
      </c>
      <c r="H101" s="679" t="s">
        <v>541</v>
      </c>
      <c r="I101" s="679" t="s">
        <v>541</v>
      </c>
      <c r="J101" s="685">
        <v>120.191</v>
      </c>
      <c r="K101" s="689">
        <v>61.3</v>
      </c>
      <c r="L101" s="687">
        <v>25</v>
      </c>
      <c r="M101" s="913">
        <v>599.95079999999996</v>
      </c>
      <c r="N101" s="702">
        <v>25</v>
      </c>
      <c r="O101" s="914">
        <v>930.54822551010216</v>
      </c>
      <c r="P101" s="702">
        <v>20</v>
      </c>
      <c r="Q101" s="710" t="s">
        <v>541</v>
      </c>
      <c r="R101" s="710" t="s">
        <v>541</v>
      </c>
      <c r="S101" s="679">
        <v>3.66</v>
      </c>
      <c r="T101" s="686">
        <f>10^S101</f>
        <v>4570.8818961487532</v>
      </c>
      <c r="U101" s="895">
        <f>LOG(V101)</f>
        <v>2.8450980400142569</v>
      </c>
      <c r="V101" s="915">
        <v>700</v>
      </c>
      <c r="W101" s="787"/>
      <c r="X101" s="685">
        <v>0.09</v>
      </c>
      <c r="Y101" s="682">
        <v>0.1</v>
      </c>
      <c r="Z101" s="682">
        <v>0.1</v>
      </c>
      <c r="AA101" s="682"/>
      <c r="AB101" s="682"/>
      <c r="AC101" s="683"/>
      <c r="AD101" s="684"/>
      <c r="AE101" s="685"/>
      <c r="AF101" s="682"/>
      <c r="AG101" s="682"/>
      <c r="AH101" s="682"/>
      <c r="AI101" s="684"/>
      <c r="AJ101" s="686"/>
      <c r="AK101" s="686"/>
      <c r="AL101" s="686"/>
      <c r="AM101" s="686"/>
      <c r="AN101" s="686"/>
      <c r="AO101" s="686"/>
      <c r="AP101" s="686"/>
      <c r="AQ101" s="686"/>
      <c r="AR101" s="686"/>
      <c r="AS101" s="810"/>
      <c r="AT101" s="709"/>
      <c r="AU101" s="686"/>
      <c r="AV101" s="686"/>
      <c r="AW101" s="686"/>
      <c r="AX101" s="689"/>
      <c r="AY101" s="686"/>
      <c r="AZ101" s="686"/>
      <c r="BA101" s="686"/>
      <c r="BB101" s="684"/>
      <c r="BC101" s="691"/>
      <c r="BD101" s="799"/>
      <c r="BE101" s="799"/>
      <c r="BF101" s="799"/>
      <c r="BG101" s="799"/>
      <c r="BH101" s="799">
        <v>0</v>
      </c>
      <c r="BI101" s="799">
        <v>0</v>
      </c>
      <c r="BJ101" s="795"/>
      <c r="BK101" s="803"/>
      <c r="BL101" s="799"/>
      <c r="BM101" s="802"/>
      <c r="BN101" s="869"/>
      <c r="BO101" s="869">
        <v>0.25</v>
      </c>
      <c r="BP101" s="869">
        <v>1</v>
      </c>
    </row>
    <row r="102" spans="1:68" s="772" customFormat="1" ht="129.75" customHeight="1">
      <c r="A102" s="681"/>
      <c r="B102" s="692"/>
      <c r="C102" s="683"/>
      <c r="D102" s="682"/>
      <c r="E102" s="767"/>
      <c r="F102" s="693"/>
      <c r="G102" s="693"/>
      <c r="H102" s="693"/>
      <c r="I102" s="699" t="s">
        <v>541</v>
      </c>
      <c r="J102" s="693" t="s">
        <v>2007</v>
      </c>
      <c r="K102" s="692" t="s">
        <v>2031</v>
      </c>
      <c r="L102" s="694" t="s">
        <v>2030</v>
      </c>
      <c r="M102" s="901" t="s">
        <v>2032</v>
      </c>
      <c r="N102" s="916" t="s">
        <v>2030</v>
      </c>
      <c r="O102" s="917" t="s">
        <v>2036</v>
      </c>
      <c r="P102" s="694" t="s">
        <v>2011</v>
      </c>
      <c r="Q102" s="696" t="s">
        <v>2012</v>
      </c>
      <c r="R102" s="696"/>
      <c r="S102" s="694" t="s">
        <v>2033</v>
      </c>
      <c r="T102" s="686"/>
      <c r="U102" s="698"/>
      <c r="V102" s="698" t="s">
        <v>2034</v>
      </c>
      <c r="W102" s="788"/>
      <c r="X102" s="711" t="s">
        <v>2115</v>
      </c>
      <c r="Y102" s="698" t="s">
        <v>2115</v>
      </c>
      <c r="Z102" s="698" t="s">
        <v>2115</v>
      </c>
      <c r="AA102" s="698"/>
      <c r="AB102" s="698"/>
      <c r="AC102" s="777"/>
      <c r="AD102" s="788"/>
      <c r="AE102" s="711"/>
      <c r="AF102" s="698"/>
      <c r="AG102" s="692"/>
      <c r="AH102" s="692"/>
      <c r="AI102" s="695"/>
      <c r="AJ102" s="696" t="s">
        <v>2141</v>
      </c>
      <c r="AK102" s="697" t="s">
        <v>2141</v>
      </c>
      <c r="AL102" s="697" t="s">
        <v>2141</v>
      </c>
      <c r="AM102" s="697" t="s">
        <v>2141</v>
      </c>
      <c r="AN102" s="697" t="s">
        <v>2141</v>
      </c>
      <c r="AO102" s="697" t="s">
        <v>2141</v>
      </c>
      <c r="AP102" s="697" t="s">
        <v>2141</v>
      </c>
      <c r="AQ102" s="697" t="s">
        <v>2141</v>
      </c>
      <c r="AR102" s="697" t="s">
        <v>2141</v>
      </c>
      <c r="AS102" s="811"/>
      <c r="AT102" s="808"/>
      <c r="AU102" s="697"/>
      <c r="AV102" s="699"/>
      <c r="AW102" s="699"/>
      <c r="AX102" s="699"/>
      <c r="AY102" s="697"/>
      <c r="AZ102" s="699"/>
      <c r="BA102" s="697"/>
      <c r="BB102" s="695"/>
      <c r="BC102" s="871" t="s">
        <v>2141</v>
      </c>
      <c r="BD102" s="871" t="s">
        <v>2141</v>
      </c>
      <c r="BE102" s="871" t="s">
        <v>2141</v>
      </c>
      <c r="BF102" s="871" t="s">
        <v>2141</v>
      </c>
      <c r="BG102" s="871" t="s">
        <v>2141</v>
      </c>
      <c r="BH102" s="872" t="s">
        <v>2158</v>
      </c>
      <c r="BI102" s="872" t="s">
        <v>2158</v>
      </c>
      <c r="BJ102" s="806"/>
      <c r="BK102" s="804"/>
      <c r="BL102" s="800"/>
      <c r="BM102" s="802"/>
      <c r="BN102" s="869" t="s">
        <v>2141</v>
      </c>
      <c r="BO102" s="869" t="s">
        <v>2145</v>
      </c>
      <c r="BP102" s="873" t="s">
        <v>2144</v>
      </c>
    </row>
    <row r="103" spans="1:68" s="772" customFormat="1">
      <c r="A103" s="681">
        <v>50</v>
      </c>
      <c r="B103" s="715" t="s">
        <v>185</v>
      </c>
      <c r="C103" s="683" t="s">
        <v>751</v>
      </c>
      <c r="D103" s="682"/>
      <c r="E103" s="767"/>
      <c r="F103" s="685" t="s">
        <v>1996</v>
      </c>
      <c r="G103" s="679" t="s">
        <v>541</v>
      </c>
      <c r="H103" s="679" t="s">
        <v>541</v>
      </c>
      <c r="I103" s="679" t="s">
        <v>541</v>
      </c>
      <c r="J103" s="685">
        <v>142.197</v>
      </c>
      <c r="K103" s="679">
        <v>22.75</v>
      </c>
      <c r="L103" s="702" t="s">
        <v>541</v>
      </c>
      <c r="M103" s="679">
        <v>2.5190000000000001</v>
      </c>
      <c r="N103" s="702">
        <v>10</v>
      </c>
      <c r="O103" s="710">
        <v>24.3</v>
      </c>
      <c r="P103" s="702">
        <v>25</v>
      </c>
      <c r="Q103" s="710"/>
      <c r="R103" s="710"/>
      <c r="S103" s="679">
        <v>3.87</v>
      </c>
      <c r="T103" s="686">
        <f>10^S103</f>
        <v>7413.1024130091773</v>
      </c>
      <c r="U103" s="679">
        <v>3.06</v>
      </c>
      <c r="V103" s="790">
        <f>10^U103</f>
        <v>1148.1536214968839</v>
      </c>
      <c r="W103" s="787"/>
      <c r="X103" s="685"/>
      <c r="Y103" s="682"/>
      <c r="Z103" s="682"/>
      <c r="AA103" s="682"/>
      <c r="AB103" s="682"/>
      <c r="AC103" s="683"/>
      <c r="AD103" s="684"/>
      <c r="AE103" s="685">
        <v>7.0000000000000007E-2</v>
      </c>
      <c r="AF103" s="682"/>
      <c r="AG103" s="682"/>
      <c r="AH103" s="682"/>
      <c r="AI103" s="684"/>
      <c r="AJ103" s="686"/>
      <c r="AK103" s="686"/>
      <c r="AL103" s="686"/>
      <c r="AM103" s="686"/>
      <c r="AN103" s="686"/>
      <c r="AO103" s="686"/>
      <c r="AP103" s="686"/>
      <c r="AQ103" s="686"/>
      <c r="AR103" s="686"/>
      <c r="AS103" s="810"/>
      <c r="AT103" s="709"/>
      <c r="AU103" s="686"/>
      <c r="AV103" s="686"/>
      <c r="AW103" s="686"/>
      <c r="AX103" s="689"/>
      <c r="AY103" s="686"/>
      <c r="AZ103" s="686"/>
      <c r="BA103" s="686"/>
      <c r="BB103" s="684"/>
      <c r="BC103" s="691"/>
      <c r="BD103" s="799"/>
      <c r="BE103" s="799"/>
      <c r="BF103" s="799"/>
      <c r="BG103" s="799"/>
      <c r="BH103" s="799"/>
      <c r="BI103" s="799"/>
      <c r="BJ103" s="795"/>
      <c r="BK103" s="803"/>
      <c r="BL103" s="799"/>
      <c r="BM103" s="802"/>
      <c r="BN103" s="869"/>
      <c r="BO103" s="869"/>
      <c r="BP103" s="869"/>
    </row>
    <row r="104" spans="1:68" s="772" customFormat="1" ht="114.75">
      <c r="A104" s="681"/>
      <c r="B104" s="692"/>
      <c r="C104" s="683"/>
      <c r="D104" s="682"/>
      <c r="E104" s="767"/>
      <c r="F104" s="693"/>
      <c r="G104" s="693"/>
      <c r="H104" s="693"/>
      <c r="I104" s="697" t="s">
        <v>541</v>
      </c>
      <c r="J104" s="693" t="s">
        <v>748</v>
      </c>
      <c r="K104" s="696" t="s">
        <v>752</v>
      </c>
      <c r="L104" s="716"/>
      <c r="M104" s="696" t="s">
        <v>753</v>
      </c>
      <c r="N104" s="716"/>
      <c r="O104" s="688" t="s">
        <v>654</v>
      </c>
      <c r="P104" s="694"/>
      <c r="Q104" s="698"/>
      <c r="R104" s="698"/>
      <c r="S104" s="692" t="s">
        <v>748</v>
      </c>
      <c r="T104" s="686"/>
      <c r="U104" s="696" t="s">
        <v>754</v>
      </c>
      <c r="V104" s="790"/>
      <c r="W104" s="787"/>
      <c r="X104" s="711"/>
      <c r="Y104" s="698"/>
      <c r="Z104" s="698"/>
      <c r="AA104" s="698"/>
      <c r="AB104" s="698"/>
      <c r="AC104" s="777"/>
      <c r="AD104" s="788"/>
      <c r="AE104" s="711" t="s">
        <v>755</v>
      </c>
      <c r="AF104" s="698"/>
      <c r="AG104" s="682"/>
      <c r="AH104" s="692"/>
      <c r="AI104" s="695"/>
      <c r="AJ104" s="697"/>
      <c r="AK104" s="697"/>
      <c r="AL104" s="697"/>
      <c r="AM104" s="697"/>
      <c r="AN104" s="697"/>
      <c r="AO104" s="697"/>
      <c r="AP104" s="697"/>
      <c r="AQ104" s="697"/>
      <c r="AR104" s="697"/>
      <c r="AS104" s="811"/>
      <c r="AT104" s="808" t="s">
        <v>541</v>
      </c>
      <c r="AU104" s="697" t="s">
        <v>541</v>
      </c>
      <c r="AV104" s="699" t="s">
        <v>541</v>
      </c>
      <c r="AW104" s="699" t="s">
        <v>541</v>
      </c>
      <c r="AX104" s="699" t="s">
        <v>541</v>
      </c>
      <c r="AY104" s="697" t="s">
        <v>541</v>
      </c>
      <c r="AZ104" s="699" t="s">
        <v>541</v>
      </c>
      <c r="BA104" s="697" t="s">
        <v>541</v>
      </c>
      <c r="BB104" s="695"/>
      <c r="BC104" s="700"/>
      <c r="BD104" s="800"/>
      <c r="BE104" s="800"/>
      <c r="BF104" s="800"/>
      <c r="BG104" s="800"/>
      <c r="BH104" s="800"/>
      <c r="BI104" s="800"/>
      <c r="BJ104" s="806"/>
      <c r="BK104" s="804" t="s">
        <v>541</v>
      </c>
      <c r="BL104" s="800" t="s">
        <v>541</v>
      </c>
      <c r="BM104" s="802"/>
      <c r="BN104" s="869"/>
      <c r="BO104" s="869"/>
      <c r="BP104" s="869"/>
    </row>
    <row r="105" spans="1:68" s="772" customFormat="1">
      <c r="A105" s="681">
        <v>51</v>
      </c>
      <c r="B105" s="682" t="s">
        <v>187</v>
      </c>
      <c r="C105" s="683" t="s">
        <v>751</v>
      </c>
      <c r="D105" s="682"/>
      <c r="E105" s="767"/>
      <c r="F105" s="685" t="s">
        <v>1996</v>
      </c>
      <c r="G105" s="679" t="s">
        <v>541</v>
      </c>
      <c r="H105" s="679" t="s">
        <v>541</v>
      </c>
      <c r="I105" s="682" t="s">
        <v>541</v>
      </c>
      <c r="J105" s="685">
        <v>142.197</v>
      </c>
      <c r="K105" s="689">
        <v>25</v>
      </c>
      <c r="L105" s="687">
        <v>25</v>
      </c>
      <c r="M105" s="689">
        <v>5.6</v>
      </c>
      <c r="N105" s="687">
        <v>20</v>
      </c>
      <c r="O105" s="689">
        <v>32.229999999999997</v>
      </c>
      <c r="P105" s="687">
        <v>25</v>
      </c>
      <c r="Q105" s="689"/>
      <c r="R105" s="689"/>
      <c r="S105" s="686">
        <v>4</v>
      </c>
      <c r="T105" s="686">
        <f>10^S105</f>
        <v>10000</v>
      </c>
      <c r="U105" s="679">
        <v>3.68</v>
      </c>
      <c r="V105" s="790">
        <f>10^U105</f>
        <v>4786.3009232263848</v>
      </c>
      <c r="W105" s="787"/>
      <c r="X105" s="780"/>
      <c r="Y105" s="689"/>
      <c r="Z105" s="689"/>
      <c r="AA105" s="689"/>
      <c r="AB105" s="689"/>
      <c r="AC105" s="775"/>
      <c r="AD105" s="690"/>
      <c r="AE105" s="780">
        <v>4.0000000000000001E-3</v>
      </c>
      <c r="AF105" s="689"/>
      <c r="AG105" s="689"/>
      <c r="AH105" s="689"/>
      <c r="AI105" s="690"/>
      <c r="AJ105" s="686"/>
      <c r="AK105" s="686"/>
      <c r="AL105" s="686"/>
      <c r="AM105" s="686"/>
      <c r="AN105" s="686"/>
      <c r="AO105" s="686"/>
      <c r="AP105" s="686"/>
      <c r="AQ105" s="686"/>
      <c r="AR105" s="686"/>
      <c r="AS105" s="810"/>
      <c r="AT105" s="709"/>
      <c r="AU105" s="686"/>
      <c r="AV105" s="686"/>
      <c r="AW105" s="686"/>
      <c r="AX105" s="689"/>
      <c r="AY105" s="686"/>
      <c r="AZ105" s="686"/>
      <c r="BA105" s="689"/>
      <c r="BB105" s="684"/>
      <c r="BC105" s="691"/>
      <c r="BD105" s="799"/>
      <c r="BE105" s="799"/>
      <c r="BF105" s="799"/>
      <c r="BG105" s="799"/>
      <c r="BH105" s="799"/>
      <c r="BI105" s="799"/>
      <c r="BJ105" s="795"/>
      <c r="BK105" s="803"/>
      <c r="BL105" s="799"/>
      <c r="BM105" s="802"/>
      <c r="BN105" s="869"/>
      <c r="BO105" s="869"/>
      <c r="BP105" s="869"/>
    </row>
    <row r="106" spans="1:68" s="772" customFormat="1" ht="127.5">
      <c r="A106" s="681"/>
      <c r="B106" s="692"/>
      <c r="C106" s="683"/>
      <c r="D106" s="682"/>
      <c r="E106" s="767"/>
      <c r="F106" s="693"/>
      <c r="G106" s="693"/>
      <c r="H106" s="693"/>
      <c r="I106" s="692" t="s">
        <v>759</v>
      </c>
      <c r="J106" s="693" t="s">
        <v>748</v>
      </c>
      <c r="K106" s="692" t="s">
        <v>756</v>
      </c>
      <c r="L106" s="694"/>
      <c r="M106" s="696" t="s">
        <v>757</v>
      </c>
      <c r="N106" s="716"/>
      <c r="O106" s="688" t="s">
        <v>654</v>
      </c>
      <c r="P106" s="694"/>
      <c r="Q106" s="694"/>
      <c r="R106" s="694"/>
      <c r="S106" s="692" t="s">
        <v>748</v>
      </c>
      <c r="T106" s="686"/>
      <c r="U106" s="696" t="s">
        <v>758</v>
      </c>
      <c r="V106" s="790"/>
      <c r="W106" s="787"/>
      <c r="X106" s="693"/>
      <c r="Y106" s="692"/>
      <c r="Z106" s="692"/>
      <c r="AA106" s="692"/>
      <c r="AB106" s="692"/>
      <c r="AC106" s="776"/>
      <c r="AD106" s="695"/>
      <c r="AE106" s="693" t="s">
        <v>760</v>
      </c>
      <c r="AF106" s="692"/>
      <c r="AG106" s="692"/>
      <c r="AH106" s="692"/>
      <c r="AI106" s="695"/>
      <c r="AJ106" s="696"/>
      <c r="AK106" s="696"/>
      <c r="AL106" s="696"/>
      <c r="AM106" s="696"/>
      <c r="AN106" s="696"/>
      <c r="AO106" s="696"/>
      <c r="AP106" s="696"/>
      <c r="AQ106" s="696"/>
      <c r="AR106" s="696"/>
      <c r="AS106" s="678"/>
      <c r="AT106" s="719"/>
      <c r="AU106" s="697"/>
      <c r="AV106" s="698"/>
      <c r="AW106" s="699" t="s">
        <v>541</v>
      </c>
      <c r="AX106" s="698"/>
      <c r="AY106" s="697"/>
      <c r="AZ106" s="699"/>
      <c r="BA106" s="698"/>
      <c r="BB106" s="695"/>
      <c r="BC106" s="700"/>
      <c r="BD106" s="800"/>
      <c r="BE106" s="800"/>
      <c r="BF106" s="800"/>
      <c r="BG106" s="800"/>
      <c r="BH106" s="800"/>
      <c r="BI106" s="800"/>
      <c r="BJ106" s="806"/>
      <c r="BK106" s="804" t="s">
        <v>541</v>
      </c>
      <c r="BL106" s="800" t="s">
        <v>541</v>
      </c>
      <c r="BM106" s="802"/>
      <c r="BN106" s="869"/>
      <c r="BO106" s="869"/>
      <c r="BP106" s="869"/>
    </row>
    <row r="107" spans="1:68" s="772" customFormat="1">
      <c r="A107" s="681">
        <v>52</v>
      </c>
      <c r="B107" s="682" t="s">
        <v>74</v>
      </c>
      <c r="C107" s="683" t="s">
        <v>761</v>
      </c>
      <c r="D107" s="682"/>
      <c r="E107" s="767"/>
      <c r="F107" s="685" t="s">
        <v>1996</v>
      </c>
      <c r="G107" s="679" t="s">
        <v>541</v>
      </c>
      <c r="H107" s="679" t="s">
        <v>541</v>
      </c>
      <c r="I107" s="682" t="s">
        <v>541</v>
      </c>
      <c r="J107" s="685">
        <v>96.942999999999998</v>
      </c>
      <c r="K107" s="689">
        <v>2420</v>
      </c>
      <c r="L107" s="687">
        <v>25</v>
      </c>
      <c r="M107" s="689">
        <v>39537</v>
      </c>
      <c r="N107" s="687">
        <v>10</v>
      </c>
      <c r="O107" s="689">
        <v>1560</v>
      </c>
      <c r="P107" s="687">
        <v>10</v>
      </c>
      <c r="Q107" s="689"/>
      <c r="R107" s="689"/>
      <c r="S107" s="686">
        <v>2.13</v>
      </c>
      <c r="T107" s="686">
        <f>10^S107</f>
        <v>134.89628825916537</v>
      </c>
      <c r="U107" s="686">
        <v>2.1760000000000002</v>
      </c>
      <c r="V107" s="790">
        <f>10^U107</f>
        <v>149.96848355023752</v>
      </c>
      <c r="W107" s="787"/>
      <c r="X107" s="780"/>
      <c r="Y107" s="689"/>
      <c r="Z107" s="689"/>
      <c r="AA107" s="689"/>
      <c r="AB107" s="689"/>
      <c r="AC107" s="775"/>
      <c r="AD107" s="690"/>
      <c r="AE107" s="780">
        <v>3.0000000000000001E-3</v>
      </c>
      <c r="AF107" s="689">
        <v>7.0000000000000001E-3</v>
      </c>
      <c r="AG107" s="682"/>
      <c r="AH107" s="682"/>
      <c r="AI107" s="684"/>
      <c r="AJ107" s="686"/>
      <c r="AK107" s="686"/>
      <c r="AL107" s="686"/>
      <c r="AM107" s="686"/>
      <c r="AN107" s="686"/>
      <c r="AO107" s="686"/>
      <c r="AP107" s="686"/>
      <c r="AQ107" s="686"/>
      <c r="AR107" s="686"/>
      <c r="AS107" s="810"/>
      <c r="AT107" s="709"/>
      <c r="AU107" s="686"/>
      <c r="AV107" s="686"/>
      <c r="AW107" s="686"/>
      <c r="AX107" s="689"/>
      <c r="AY107" s="686"/>
      <c r="AZ107" s="686"/>
      <c r="BA107" s="686"/>
      <c r="BB107" s="684"/>
      <c r="BC107" s="691"/>
      <c r="BD107" s="799"/>
      <c r="BE107" s="799"/>
      <c r="BF107" s="799"/>
      <c r="BG107" s="799"/>
      <c r="BH107" s="799"/>
      <c r="BI107" s="799"/>
      <c r="BJ107" s="795"/>
      <c r="BK107" s="803"/>
      <c r="BL107" s="799"/>
      <c r="BM107" s="802"/>
      <c r="BN107" s="869"/>
      <c r="BO107" s="869"/>
      <c r="BP107" s="869"/>
    </row>
    <row r="108" spans="1:68" s="772" customFormat="1" ht="102">
      <c r="A108" s="681"/>
      <c r="B108" s="692"/>
      <c r="C108" s="683"/>
      <c r="D108" s="682"/>
      <c r="E108" s="767"/>
      <c r="F108" s="693"/>
      <c r="G108" s="693"/>
      <c r="H108" s="693"/>
      <c r="I108" s="692" t="s">
        <v>759</v>
      </c>
      <c r="J108" s="693" t="s">
        <v>762</v>
      </c>
      <c r="K108" s="692" t="s">
        <v>763</v>
      </c>
      <c r="L108" s="694"/>
      <c r="M108" s="694" t="s">
        <v>764</v>
      </c>
      <c r="N108" s="694"/>
      <c r="O108" s="688" t="s">
        <v>654</v>
      </c>
      <c r="P108" s="694"/>
      <c r="Q108" s="694"/>
      <c r="R108" s="694"/>
      <c r="S108" s="692" t="s">
        <v>762</v>
      </c>
      <c r="T108" s="686"/>
      <c r="U108" s="696" t="s">
        <v>765</v>
      </c>
      <c r="V108" s="790"/>
      <c r="W108" s="796"/>
      <c r="X108" s="693"/>
      <c r="Y108" s="692"/>
      <c r="Z108" s="692"/>
      <c r="AA108" s="692"/>
      <c r="AB108" s="692"/>
      <c r="AC108" s="776"/>
      <c r="AD108" s="695"/>
      <c r="AE108" s="693" t="s">
        <v>746</v>
      </c>
      <c r="AF108" s="692" t="s">
        <v>766</v>
      </c>
      <c r="AG108" s="692"/>
      <c r="AH108" s="692"/>
      <c r="AI108" s="695"/>
      <c r="AJ108" s="697"/>
      <c r="AK108" s="697"/>
      <c r="AL108" s="697"/>
      <c r="AM108" s="697"/>
      <c r="AN108" s="697"/>
      <c r="AO108" s="697"/>
      <c r="AP108" s="697"/>
      <c r="AQ108" s="697"/>
      <c r="AR108" s="697"/>
      <c r="AS108" s="811"/>
      <c r="AT108" s="808" t="s">
        <v>541</v>
      </c>
      <c r="AU108" s="697" t="s">
        <v>541</v>
      </c>
      <c r="AV108" s="699" t="s">
        <v>541</v>
      </c>
      <c r="AW108" s="699" t="s">
        <v>541</v>
      </c>
      <c r="AX108" s="699" t="s">
        <v>541</v>
      </c>
      <c r="AY108" s="697" t="s">
        <v>541</v>
      </c>
      <c r="AZ108" s="699" t="s">
        <v>541</v>
      </c>
      <c r="BA108" s="697" t="s">
        <v>541</v>
      </c>
      <c r="BB108" s="695"/>
      <c r="BC108" s="700"/>
      <c r="BD108" s="800"/>
      <c r="BE108" s="800"/>
      <c r="BF108" s="800"/>
      <c r="BG108" s="800"/>
      <c r="BH108" s="800"/>
      <c r="BI108" s="800"/>
      <c r="BJ108" s="806"/>
      <c r="BK108" s="804" t="s">
        <v>541</v>
      </c>
      <c r="BL108" s="800" t="s">
        <v>541</v>
      </c>
      <c r="BM108" s="802"/>
      <c r="BN108" s="869"/>
      <c r="BO108" s="869"/>
      <c r="BP108" s="869"/>
    </row>
    <row r="109" spans="1:68" s="772" customFormat="1" ht="15">
      <c r="A109" s="681">
        <v>53</v>
      </c>
      <c r="B109" s="682" t="s">
        <v>64</v>
      </c>
      <c r="C109" s="683" t="s">
        <v>767</v>
      </c>
      <c r="D109" s="682" t="s">
        <v>2534</v>
      </c>
      <c r="E109" s="767"/>
      <c r="F109" s="685" t="s">
        <v>1996</v>
      </c>
      <c r="G109" s="679" t="s">
        <v>1997</v>
      </c>
      <c r="H109" s="679" t="s">
        <v>541</v>
      </c>
      <c r="I109" s="679" t="s">
        <v>541</v>
      </c>
      <c r="J109" s="685">
        <v>252.73099999999999</v>
      </c>
      <c r="K109" s="626">
        <v>3100</v>
      </c>
      <c r="L109" s="626">
        <v>25</v>
      </c>
      <c r="M109" s="626">
        <v>719.94078947368416</v>
      </c>
      <c r="N109" s="626">
        <v>25</v>
      </c>
      <c r="O109" s="626">
        <v>41.614029065422329</v>
      </c>
      <c r="P109" s="626">
        <v>20</v>
      </c>
      <c r="Q109" s="626" t="s">
        <v>541</v>
      </c>
      <c r="R109" s="626" t="s">
        <v>541</v>
      </c>
      <c r="S109" s="626">
        <v>2.4</v>
      </c>
      <c r="T109" s="686">
        <f>10^S109</f>
        <v>251.18864315095806</v>
      </c>
      <c r="U109" s="679">
        <f>LOG(V109)</f>
        <v>2.0827853703164503</v>
      </c>
      <c r="V109" s="918">
        <v>121</v>
      </c>
      <c r="W109" s="787"/>
      <c r="X109" s="780" t="s">
        <v>541</v>
      </c>
      <c r="Y109" s="602">
        <v>1.7899999999999999E-2</v>
      </c>
      <c r="Z109" s="689">
        <f>Y109</f>
        <v>1.7899999999999999E-2</v>
      </c>
      <c r="AA109" s="602">
        <v>1.1000000000000001E-3</v>
      </c>
      <c r="AB109" s="602">
        <v>7.9000000000000008E-3</v>
      </c>
      <c r="AC109" s="775">
        <f>AB109</f>
        <v>7.9000000000000008E-3</v>
      </c>
      <c r="AD109" s="690"/>
      <c r="AE109" s="780"/>
      <c r="AF109" s="689"/>
      <c r="AG109" s="682"/>
      <c r="AH109" s="682"/>
      <c r="AI109" s="684"/>
      <c r="AJ109" s="686" t="s">
        <v>541</v>
      </c>
      <c r="AK109" s="686" t="s">
        <v>541</v>
      </c>
      <c r="AL109" s="686" t="s">
        <v>541</v>
      </c>
      <c r="AM109" s="686" t="s">
        <v>541</v>
      </c>
      <c r="AN109" s="686" t="s">
        <v>541</v>
      </c>
      <c r="AO109" s="686" t="s">
        <v>541</v>
      </c>
      <c r="AP109" s="686" t="s">
        <v>541</v>
      </c>
      <c r="AQ109" s="686" t="s">
        <v>541</v>
      </c>
      <c r="AR109" s="686" t="s">
        <v>541</v>
      </c>
      <c r="AS109" s="810"/>
      <c r="AT109" s="709"/>
      <c r="AU109" s="686"/>
      <c r="AV109" s="686"/>
      <c r="AW109" s="686"/>
      <c r="AX109" s="689"/>
      <c r="AY109" s="686"/>
      <c r="AZ109" s="686"/>
      <c r="BA109" s="686"/>
      <c r="BB109" s="684"/>
      <c r="BC109" s="691"/>
      <c r="BD109" s="799"/>
      <c r="BE109" s="799" t="s">
        <v>541</v>
      </c>
      <c r="BF109" s="799"/>
      <c r="BG109" s="799"/>
      <c r="BH109" s="799"/>
      <c r="BI109" s="799"/>
      <c r="BJ109" s="795"/>
      <c r="BK109" s="803"/>
      <c r="BL109" s="799"/>
      <c r="BM109" s="802"/>
      <c r="BN109" s="725" t="s">
        <v>541</v>
      </c>
      <c r="BO109" s="870">
        <v>0.25</v>
      </c>
      <c r="BP109" s="870">
        <v>1</v>
      </c>
    </row>
    <row r="110" spans="1:68" s="772" customFormat="1" ht="135">
      <c r="A110" s="681"/>
      <c r="B110" s="692"/>
      <c r="C110" s="683"/>
      <c r="D110" s="682"/>
      <c r="E110" s="767"/>
      <c r="F110" s="693"/>
      <c r="G110" s="693"/>
      <c r="H110" s="693"/>
      <c r="I110" s="697" t="s">
        <v>541</v>
      </c>
      <c r="J110" s="693" t="s">
        <v>2211</v>
      </c>
      <c r="K110" s="888" t="s">
        <v>2212</v>
      </c>
      <c r="L110" s="888"/>
      <c r="M110" s="888" t="s">
        <v>2213</v>
      </c>
      <c r="N110" s="888"/>
      <c r="O110" s="888" t="s">
        <v>2214</v>
      </c>
      <c r="P110" s="888"/>
      <c r="Q110" s="888"/>
      <c r="R110" s="888"/>
      <c r="S110" s="888" t="s">
        <v>2215</v>
      </c>
      <c r="T110" s="686"/>
      <c r="U110" s="696" t="s">
        <v>2217</v>
      </c>
      <c r="V110" s="919" t="s">
        <v>2216</v>
      </c>
      <c r="W110" s="787"/>
      <c r="X110" s="693"/>
      <c r="Y110" s="920" t="s">
        <v>2218</v>
      </c>
      <c r="Z110" s="692"/>
      <c r="AA110" s="920" t="s">
        <v>2219</v>
      </c>
      <c r="AB110" s="920" t="s">
        <v>2219</v>
      </c>
      <c r="AC110" s="776"/>
      <c r="AD110" s="695"/>
      <c r="AE110" s="693"/>
      <c r="AF110" s="692"/>
      <c r="AG110" s="692"/>
      <c r="AH110" s="692"/>
      <c r="AI110" s="695"/>
      <c r="AJ110" s="697" t="s">
        <v>2221</v>
      </c>
      <c r="AK110" s="697" t="s">
        <v>2221</v>
      </c>
      <c r="AL110" s="697" t="s">
        <v>2221</v>
      </c>
      <c r="AM110" s="697" t="s">
        <v>2221</v>
      </c>
      <c r="AN110" s="697" t="s">
        <v>2221</v>
      </c>
      <c r="AO110" s="697" t="s">
        <v>2221</v>
      </c>
      <c r="AP110" s="697" t="s">
        <v>2221</v>
      </c>
      <c r="AQ110" s="697" t="s">
        <v>2221</v>
      </c>
      <c r="AR110" s="697" t="s">
        <v>2221</v>
      </c>
      <c r="AS110" s="811"/>
      <c r="AT110" s="808"/>
      <c r="AU110" s="697"/>
      <c r="AV110" s="699"/>
      <c r="AW110" s="699"/>
      <c r="AX110" s="699"/>
      <c r="AY110" s="697"/>
      <c r="AZ110" s="699"/>
      <c r="BA110" s="697"/>
      <c r="BB110" s="695"/>
      <c r="BC110" s="700"/>
      <c r="BD110" s="800"/>
      <c r="BE110" s="799" t="s">
        <v>2220</v>
      </c>
      <c r="BF110" s="800"/>
      <c r="BG110" s="800"/>
      <c r="BH110" s="800"/>
      <c r="BI110" s="800"/>
      <c r="BJ110" s="806"/>
      <c r="BK110" s="804"/>
      <c r="BL110" s="800"/>
      <c r="BM110" s="802"/>
      <c r="BN110" s="725" t="s">
        <v>2220</v>
      </c>
      <c r="BO110" s="874" t="s">
        <v>2208</v>
      </c>
      <c r="BP110" s="874" t="s">
        <v>2208</v>
      </c>
    </row>
    <row r="111" spans="1:68">
      <c r="A111" s="149">
        <v>54</v>
      </c>
      <c r="B111" s="180" t="s">
        <v>70</v>
      </c>
      <c r="C111" s="151" t="s">
        <v>769</v>
      </c>
      <c r="D111" s="150"/>
      <c r="E111" s="767"/>
      <c r="F111" s="152" t="s">
        <v>1996</v>
      </c>
      <c r="G111" s="148" t="s">
        <v>541</v>
      </c>
      <c r="H111" s="148" t="s">
        <v>541</v>
      </c>
      <c r="I111" s="148" t="s">
        <v>541</v>
      </c>
      <c r="J111" s="152">
        <v>208.28</v>
      </c>
      <c r="K111" s="156">
        <v>5814</v>
      </c>
      <c r="L111" s="154">
        <v>20</v>
      </c>
      <c r="M111" s="174">
        <v>2324</v>
      </c>
      <c r="N111" s="167">
        <v>20</v>
      </c>
      <c r="O111" s="174">
        <v>38.5</v>
      </c>
      <c r="P111" s="167">
        <v>10</v>
      </c>
      <c r="Q111" s="174"/>
      <c r="R111" s="174"/>
      <c r="S111" s="148">
        <v>2.15</v>
      </c>
      <c r="T111" s="153">
        <f>10^S111</f>
        <v>141.25375446227542</v>
      </c>
      <c r="U111" s="148">
        <v>1.76</v>
      </c>
      <c r="V111" s="520">
        <f>10^U111</f>
        <v>57.543993733715695</v>
      </c>
      <c r="W111" s="787"/>
      <c r="X111" s="512"/>
      <c r="Y111" s="156"/>
      <c r="Z111" s="156"/>
      <c r="AA111" s="156"/>
      <c r="AB111" s="156"/>
      <c r="AC111" s="501"/>
      <c r="AD111" s="690"/>
      <c r="AE111" s="512">
        <v>0.02</v>
      </c>
      <c r="AF111" s="156"/>
      <c r="AG111" s="150">
        <f>0.00001/0.094</f>
        <v>1.0638297872340427E-4</v>
      </c>
      <c r="AH111" s="150">
        <f>(0.00001/0.000027)*0.001</f>
        <v>3.7037037037037041E-4</v>
      </c>
      <c r="AI111" s="684"/>
      <c r="AJ111" s="153"/>
      <c r="AK111" s="153"/>
      <c r="AL111" s="153"/>
      <c r="AM111" s="153"/>
      <c r="AN111" s="153"/>
      <c r="AO111" s="153"/>
      <c r="AP111" s="153"/>
      <c r="AQ111" s="153"/>
      <c r="AR111" s="153"/>
      <c r="AS111" s="810"/>
      <c r="AT111" s="173"/>
      <c r="AU111" s="153"/>
      <c r="AV111" s="153"/>
      <c r="AW111" s="153"/>
      <c r="AX111" s="156"/>
      <c r="AY111" s="153"/>
      <c r="AZ111" s="153"/>
      <c r="BA111" s="153"/>
      <c r="BB111" s="684"/>
      <c r="BC111" s="157"/>
      <c r="BD111" s="521"/>
      <c r="BE111" s="521"/>
      <c r="BF111" s="521"/>
      <c r="BG111" s="521"/>
      <c r="BH111" s="521"/>
      <c r="BI111" s="521"/>
      <c r="BJ111" s="795"/>
      <c r="BK111" s="523"/>
      <c r="BL111" s="521"/>
      <c r="BN111" s="343"/>
      <c r="BO111" s="343"/>
      <c r="BP111" s="343"/>
    </row>
    <row r="112" spans="1:68" ht="102">
      <c r="A112" s="149"/>
      <c r="B112" s="158"/>
      <c r="C112" s="151"/>
      <c r="D112" s="150"/>
      <c r="E112" s="767"/>
      <c r="F112" s="159"/>
      <c r="G112" s="159"/>
      <c r="H112" s="159"/>
      <c r="I112" s="162" t="s">
        <v>541</v>
      </c>
      <c r="J112" s="159" t="s">
        <v>762</v>
      </c>
      <c r="K112" s="161" t="s">
        <v>770</v>
      </c>
      <c r="L112" s="181"/>
      <c r="M112" s="161" t="s">
        <v>770</v>
      </c>
      <c r="N112" s="181"/>
      <c r="O112" s="155" t="s">
        <v>654</v>
      </c>
      <c r="P112" s="160"/>
      <c r="Q112" s="163"/>
      <c r="R112" s="163"/>
      <c r="S112" s="161" t="s">
        <v>771</v>
      </c>
      <c r="T112" s="153"/>
      <c r="U112" s="161" t="s">
        <v>772</v>
      </c>
      <c r="V112" s="520"/>
      <c r="W112" s="787"/>
      <c r="X112" s="159"/>
      <c r="Y112" s="158"/>
      <c r="Z112" s="158"/>
      <c r="AA112" s="158"/>
      <c r="AB112" s="158"/>
      <c r="AC112" s="502"/>
      <c r="AD112" s="695"/>
      <c r="AE112" s="159" t="s">
        <v>768</v>
      </c>
      <c r="AF112" s="158"/>
      <c r="AG112" s="158" t="s">
        <v>766</v>
      </c>
      <c r="AH112" s="158" t="s">
        <v>773</v>
      </c>
      <c r="AI112" s="695"/>
      <c r="AJ112" s="162"/>
      <c r="AK112" s="162"/>
      <c r="AL112" s="162"/>
      <c r="AM112" s="162"/>
      <c r="AN112" s="162"/>
      <c r="AO112" s="162"/>
      <c r="AP112" s="162"/>
      <c r="AQ112" s="162"/>
      <c r="AR112" s="162"/>
      <c r="AS112" s="811"/>
      <c r="AT112" s="527" t="s">
        <v>541</v>
      </c>
      <c r="AU112" s="162" t="s">
        <v>541</v>
      </c>
      <c r="AV112" s="164" t="s">
        <v>541</v>
      </c>
      <c r="AW112" s="164" t="s">
        <v>541</v>
      </c>
      <c r="AX112" s="164" t="s">
        <v>541</v>
      </c>
      <c r="AY112" s="162" t="s">
        <v>541</v>
      </c>
      <c r="AZ112" s="164" t="s">
        <v>541</v>
      </c>
      <c r="BA112" s="162" t="s">
        <v>541</v>
      </c>
      <c r="BB112" s="695"/>
      <c r="BC112" s="165"/>
      <c r="BD112" s="522"/>
      <c r="BE112" s="522"/>
      <c r="BF112" s="522"/>
      <c r="BG112" s="522"/>
      <c r="BH112" s="522"/>
      <c r="BI112" s="522"/>
      <c r="BJ112" s="806"/>
      <c r="BK112" s="524" t="s">
        <v>541</v>
      </c>
      <c r="BL112" s="522" t="s">
        <v>541</v>
      </c>
      <c r="BN112" s="343"/>
      <c r="BO112" s="343"/>
      <c r="BP112" s="343"/>
    </row>
    <row r="113" spans="1:68">
      <c r="A113" s="149">
        <v>55</v>
      </c>
      <c r="B113" s="180" t="s">
        <v>111</v>
      </c>
      <c r="C113" s="151" t="s">
        <v>774</v>
      </c>
      <c r="D113" s="150"/>
      <c r="E113" s="767"/>
      <c r="F113" s="152" t="s">
        <v>1996</v>
      </c>
      <c r="G113" s="148" t="s">
        <v>541</v>
      </c>
      <c r="H113" s="148" t="s">
        <v>541</v>
      </c>
      <c r="I113" s="148" t="s">
        <v>541</v>
      </c>
      <c r="J113" s="152">
        <v>390.55700000000002</v>
      </c>
      <c r="K113" s="156">
        <v>0.27</v>
      </c>
      <c r="L113" s="154">
        <v>25</v>
      </c>
      <c r="M113" s="174">
        <v>3.1999999999999999E-6</v>
      </c>
      <c r="N113" s="167">
        <v>10</v>
      </c>
      <c r="O113" s="174">
        <v>4.1000000000000003E-3</v>
      </c>
      <c r="P113" s="167">
        <v>25</v>
      </c>
      <c r="Q113" s="174">
        <v>1.9999999999999999E-6</v>
      </c>
      <c r="R113" s="174"/>
      <c r="S113" s="148">
        <v>6.78</v>
      </c>
      <c r="T113" s="153">
        <f>10^S113</f>
        <v>6025595.8607435944</v>
      </c>
      <c r="U113" s="148">
        <v>5.0599999999999996</v>
      </c>
      <c r="V113" s="520">
        <f>10^U113</f>
        <v>114815.36214968823</v>
      </c>
      <c r="W113" s="787"/>
      <c r="X113" s="512"/>
      <c r="Y113" s="156"/>
      <c r="Z113" s="156"/>
      <c r="AA113" s="156"/>
      <c r="AB113" s="156"/>
      <c r="AC113" s="501"/>
      <c r="AD113" s="690"/>
      <c r="AE113" s="512">
        <v>4.0000000000000001E-3</v>
      </c>
      <c r="AF113" s="156"/>
      <c r="AG113" s="150">
        <f>0.00001/0.014</f>
        <v>7.1428571428571429E-4</v>
      </c>
      <c r="AH113" s="150">
        <f>(0.00001/0.0000024)*0.001</f>
        <v>4.1666666666666675E-3</v>
      </c>
      <c r="AI113" s="684"/>
      <c r="AJ113" s="153"/>
      <c r="AK113" s="153"/>
      <c r="AL113" s="153"/>
      <c r="AM113" s="153"/>
      <c r="AN113" s="153"/>
      <c r="AO113" s="153"/>
      <c r="AP113" s="153"/>
      <c r="AQ113" s="153"/>
      <c r="AR113" s="153"/>
      <c r="AS113" s="810"/>
      <c r="AT113" s="173"/>
      <c r="AU113" s="153"/>
      <c r="AV113" s="153"/>
      <c r="AW113" s="153"/>
      <c r="AX113" s="156"/>
      <c r="AY113" s="153"/>
      <c r="AZ113" s="153"/>
      <c r="BA113" s="153"/>
      <c r="BB113" s="684"/>
      <c r="BC113" s="157"/>
      <c r="BD113" s="521"/>
      <c r="BE113" s="521"/>
      <c r="BF113" s="521"/>
      <c r="BG113" s="521"/>
      <c r="BH113" s="521"/>
      <c r="BI113" s="521"/>
      <c r="BJ113" s="795"/>
      <c r="BK113" s="523"/>
      <c r="BL113" s="521"/>
      <c r="BN113" s="343"/>
      <c r="BO113" s="343"/>
      <c r="BP113" s="343"/>
    </row>
    <row r="114" spans="1:68" ht="242.25">
      <c r="A114" s="149"/>
      <c r="B114" s="158"/>
      <c r="C114" s="151"/>
      <c r="D114" s="150"/>
      <c r="E114" s="767"/>
      <c r="F114" s="159"/>
      <c r="G114" s="159"/>
      <c r="H114" s="159"/>
      <c r="I114" s="162" t="s">
        <v>541</v>
      </c>
      <c r="J114" s="159" t="s">
        <v>775</v>
      </c>
      <c r="K114" s="161" t="s">
        <v>776</v>
      </c>
      <c r="L114" s="181"/>
      <c r="M114" s="161" t="s">
        <v>777</v>
      </c>
      <c r="N114" s="181"/>
      <c r="O114" s="155" t="s">
        <v>654</v>
      </c>
      <c r="P114" s="160"/>
      <c r="Q114" s="160" t="s">
        <v>658</v>
      </c>
      <c r="R114" s="160"/>
      <c r="S114" s="161" t="s">
        <v>778</v>
      </c>
      <c r="T114" s="153"/>
      <c r="U114" s="161" t="s">
        <v>779</v>
      </c>
      <c r="V114" s="520"/>
      <c r="W114" s="787"/>
      <c r="X114" s="159"/>
      <c r="Y114" s="158"/>
      <c r="Z114" s="158"/>
      <c r="AA114" s="158"/>
      <c r="AB114" s="158"/>
      <c r="AC114" s="502"/>
      <c r="AD114" s="695"/>
      <c r="AE114" s="159" t="s">
        <v>670</v>
      </c>
      <c r="AF114" s="158" t="s">
        <v>780</v>
      </c>
      <c r="AG114" s="158" t="s">
        <v>781</v>
      </c>
      <c r="AH114" s="158" t="s">
        <v>782</v>
      </c>
      <c r="AI114" s="695"/>
      <c r="AJ114" s="162"/>
      <c r="AK114" s="162"/>
      <c r="AL114" s="162"/>
      <c r="AM114" s="162"/>
      <c r="AN114" s="162"/>
      <c r="AO114" s="162"/>
      <c r="AP114" s="162"/>
      <c r="AQ114" s="162"/>
      <c r="AR114" s="162"/>
      <c r="AS114" s="811"/>
      <c r="AT114" s="527" t="s">
        <v>541</v>
      </c>
      <c r="AU114" s="162" t="s">
        <v>541</v>
      </c>
      <c r="AV114" s="164" t="s">
        <v>541</v>
      </c>
      <c r="AW114" s="164" t="s">
        <v>541</v>
      </c>
      <c r="AX114" s="164" t="s">
        <v>541</v>
      </c>
      <c r="AY114" s="162" t="s">
        <v>541</v>
      </c>
      <c r="AZ114" s="164" t="s">
        <v>541</v>
      </c>
      <c r="BA114" s="162" t="s">
        <v>541</v>
      </c>
      <c r="BB114" s="695"/>
      <c r="BC114" s="165"/>
      <c r="BD114" s="522"/>
      <c r="BE114" s="522"/>
      <c r="BF114" s="522"/>
      <c r="BG114" s="522"/>
      <c r="BH114" s="522"/>
      <c r="BI114" s="522"/>
      <c r="BJ114" s="806"/>
      <c r="BK114" s="524" t="s">
        <v>541</v>
      </c>
      <c r="BL114" s="522" t="s">
        <v>541</v>
      </c>
      <c r="BN114" s="343"/>
      <c r="BO114" s="343"/>
      <c r="BP114" s="343"/>
    </row>
    <row r="115" spans="1:68">
      <c r="A115" s="149">
        <v>57</v>
      </c>
      <c r="B115" s="180" t="s">
        <v>184</v>
      </c>
      <c r="C115" s="151" t="s">
        <v>783</v>
      </c>
      <c r="D115" s="150"/>
      <c r="E115" s="767"/>
      <c r="F115" s="152" t="s">
        <v>1996</v>
      </c>
      <c r="G115" s="148" t="s">
        <v>541</v>
      </c>
      <c r="H115" s="148" t="s">
        <v>541</v>
      </c>
      <c r="I115" s="148" t="s">
        <v>541</v>
      </c>
      <c r="J115" s="152">
        <v>154.20699999999999</v>
      </c>
      <c r="K115" s="156">
        <v>4.0599999999999996</v>
      </c>
      <c r="L115" s="154">
        <v>25</v>
      </c>
      <c r="M115" s="174">
        <v>0.36099999999999999</v>
      </c>
      <c r="N115" s="167">
        <v>14.9</v>
      </c>
      <c r="O115" s="174">
        <v>11.55</v>
      </c>
      <c r="P115" s="167">
        <v>25</v>
      </c>
      <c r="Q115" s="174">
        <v>4.9999999999999998E-7</v>
      </c>
      <c r="R115" s="174"/>
      <c r="S115" s="148">
        <v>3.76</v>
      </c>
      <c r="T115" s="153">
        <f>10^S115</f>
        <v>5754.399373371567</v>
      </c>
      <c r="U115" s="148">
        <v>3.25</v>
      </c>
      <c r="V115" s="520">
        <f>10^U115</f>
        <v>1778.2794100389244</v>
      </c>
      <c r="W115" s="787"/>
      <c r="X115" s="515"/>
      <c r="Y115" s="174"/>
      <c r="Z115" s="174"/>
      <c r="AA115" s="174"/>
      <c r="AB115" s="174"/>
      <c r="AC115" s="508"/>
      <c r="AD115" s="786"/>
      <c r="AE115" s="515">
        <v>0.5</v>
      </c>
      <c r="AF115" s="150"/>
      <c r="AG115" s="150">
        <f>0.00001/0.008</f>
        <v>1.25E-3</v>
      </c>
      <c r="AH115" s="150"/>
      <c r="AI115" s="684"/>
      <c r="AJ115" s="153"/>
      <c r="AK115" s="153"/>
      <c r="AL115" s="153"/>
      <c r="AM115" s="153"/>
      <c r="AN115" s="153"/>
      <c r="AO115" s="153"/>
      <c r="AP115" s="153"/>
      <c r="AQ115" s="153"/>
      <c r="AR115" s="153"/>
      <c r="AS115" s="810"/>
      <c r="AT115" s="173"/>
      <c r="AU115" s="153"/>
      <c r="AV115" s="153"/>
      <c r="AW115" s="153"/>
      <c r="AX115" s="156"/>
      <c r="AY115" s="153"/>
      <c r="AZ115" s="153"/>
      <c r="BA115" s="153"/>
      <c r="BB115" s="684"/>
      <c r="BC115" s="157"/>
      <c r="BD115" s="521"/>
      <c r="BE115" s="521"/>
      <c r="BF115" s="521"/>
      <c r="BG115" s="521"/>
      <c r="BH115" s="521"/>
      <c r="BI115" s="521"/>
      <c r="BJ115" s="795"/>
      <c r="BK115" s="523"/>
      <c r="BL115" s="521"/>
      <c r="BN115" s="343"/>
      <c r="BO115" s="343"/>
      <c r="BP115" s="343"/>
    </row>
    <row r="116" spans="1:68" ht="255">
      <c r="A116" s="149"/>
      <c r="B116" s="158"/>
      <c r="C116" s="151"/>
      <c r="D116" s="150"/>
      <c r="E116" s="767"/>
      <c r="F116" s="159"/>
      <c r="G116" s="159"/>
      <c r="H116" s="159"/>
      <c r="I116" s="162" t="s">
        <v>541</v>
      </c>
      <c r="J116" s="159" t="s">
        <v>762</v>
      </c>
      <c r="K116" s="161" t="s">
        <v>784</v>
      </c>
      <c r="L116" s="181"/>
      <c r="M116" s="161" t="s">
        <v>785</v>
      </c>
      <c r="N116" s="181"/>
      <c r="O116" s="155" t="s">
        <v>654</v>
      </c>
      <c r="P116" s="160"/>
      <c r="Q116" s="160" t="s">
        <v>786</v>
      </c>
      <c r="R116" s="160"/>
      <c r="S116" s="158" t="s">
        <v>762</v>
      </c>
      <c r="T116" s="153"/>
      <c r="U116" s="161" t="s">
        <v>787</v>
      </c>
      <c r="V116" s="520"/>
      <c r="W116" s="787"/>
      <c r="X116" s="159"/>
      <c r="Y116" s="158"/>
      <c r="Z116" s="158"/>
      <c r="AA116" s="158"/>
      <c r="AB116" s="158"/>
      <c r="AC116" s="502"/>
      <c r="AD116" s="695"/>
      <c r="AE116" s="159" t="s">
        <v>788</v>
      </c>
      <c r="AF116" s="158"/>
      <c r="AG116" s="158" t="s">
        <v>788</v>
      </c>
      <c r="AH116" s="150"/>
      <c r="AI116" s="684"/>
      <c r="AJ116" s="162"/>
      <c r="AK116" s="162"/>
      <c r="AL116" s="162"/>
      <c r="AM116" s="162"/>
      <c r="AN116" s="162"/>
      <c r="AO116" s="162"/>
      <c r="AP116" s="162"/>
      <c r="AQ116" s="162"/>
      <c r="AR116" s="162"/>
      <c r="AS116" s="811"/>
      <c r="AT116" s="527" t="s">
        <v>541</v>
      </c>
      <c r="AU116" s="162" t="s">
        <v>541</v>
      </c>
      <c r="AV116" s="164" t="s">
        <v>541</v>
      </c>
      <c r="AW116" s="164" t="s">
        <v>541</v>
      </c>
      <c r="AX116" s="164" t="s">
        <v>541</v>
      </c>
      <c r="AY116" s="162" t="s">
        <v>541</v>
      </c>
      <c r="AZ116" s="164" t="s">
        <v>541</v>
      </c>
      <c r="BA116" s="162" t="s">
        <v>541</v>
      </c>
      <c r="BB116" s="695"/>
      <c r="BC116" s="165"/>
      <c r="BD116" s="522"/>
      <c r="BE116" s="522"/>
      <c r="BF116" s="522"/>
      <c r="BG116" s="522"/>
      <c r="BH116" s="522"/>
      <c r="BI116" s="522"/>
      <c r="BJ116" s="806"/>
      <c r="BK116" s="524" t="s">
        <v>541</v>
      </c>
      <c r="BL116" s="522" t="s">
        <v>541</v>
      </c>
      <c r="BN116" s="343"/>
      <c r="BO116" s="343"/>
      <c r="BP116" s="343"/>
    </row>
    <row r="117" spans="1:68">
      <c r="A117" s="149">
        <v>58</v>
      </c>
      <c r="B117" s="180" t="s">
        <v>63</v>
      </c>
      <c r="C117" s="151" t="s">
        <v>789</v>
      </c>
      <c r="D117" s="150"/>
      <c r="E117" s="767"/>
      <c r="F117" s="152" t="s">
        <v>1996</v>
      </c>
      <c r="G117" s="148" t="s">
        <v>541</v>
      </c>
      <c r="H117" s="148" t="s">
        <v>541</v>
      </c>
      <c r="I117" s="148" t="s">
        <v>541</v>
      </c>
      <c r="J117" s="152">
        <v>163.82900000000001</v>
      </c>
      <c r="K117" s="156">
        <v>8880</v>
      </c>
      <c r="L117" s="154">
        <v>20</v>
      </c>
      <c r="M117" s="174">
        <v>7551</v>
      </c>
      <c r="N117" s="167">
        <v>20</v>
      </c>
      <c r="O117" s="174">
        <v>162</v>
      </c>
      <c r="P117" s="167">
        <v>20</v>
      </c>
      <c r="Q117" s="174"/>
      <c r="R117" s="174"/>
      <c r="S117" s="148">
        <v>2.02</v>
      </c>
      <c r="T117" s="153">
        <f>10^S117</f>
        <v>104.71285480508998</v>
      </c>
      <c r="U117" s="148">
        <v>2.0299999999999998</v>
      </c>
      <c r="V117" s="520">
        <f>10^U117</f>
        <v>107.15193052376065</v>
      </c>
      <c r="W117" s="787"/>
      <c r="X117" s="515"/>
      <c r="Y117" s="174"/>
      <c r="Z117" s="174"/>
      <c r="AA117" s="174"/>
      <c r="AB117" s="174"/>
      <c r="AC117" s="508"/>
      <c r="AD117" s="786"/>
      <c r="AE117" s="515">
        <v>0.02</v>
      </c>
      <c r="AF117" s="150"/>
      <c r="AG117" s="150">
        <f>0.00001/0.062</f>
        <v>1.6129032258064519E-4</v>
      </c>
      <c r="AH117" s="150"/>
      <c r="AI117" s="684"/>
      <c r="AJ117" s="153"/>
      <c r="AK117" s="153"/>
      <c r="AL117" s="153"/>
      <c r="AM117" s="153"/>
      <c r="AN117" s="153"/>
      <c r="AO117" s="153"/>
      <c r="AP117" s="153"/>
      <c r="AQ117" s="153"/>
      <c r="AR117" s="153"/>
      <c r="AS117" s="810"/>
      <c r="AT117" s="173"/>
      <c r="AU117" s="153"/>
      <c r="AV117" s="153"/>
      <c r="AW117" s="153"/>
      <c r="AX117" s="156"/>
      <c r="AY117" s="153"/>
      <c r="AZ117" s="153"/>
      <c r="BA117" s="153"/>
      <c r="BB117" s="684"/>
      <c r="BC117" s="157"/>
      <c r="BD117" s="521"/>
      <c r="BE117" s="521"/>
      <c r="BF117" s="521"/>
      <c r="BG117" s="521"/>
      <c r="BH117" s="521"/>
      <c r="BI117" s="521"/>
      <c r="BJ117" s="795"/>
      <c r="BK117" s="523"/>
      <c r="BL117" s="521"/>
      <c r="BN117" s="343"/>
      <c r="BO117" s="343"/>
      <c r="BP117" s="343"/>
    </row>
    <row r="118" spans="1:68" ht="63.75">
      <c r="A118" s="149"/>
      <c r="B118" s="158"/>
      <c r="C118" s="151"/>
      <c r="D118" s="150"/>
      <c r="E118" s="767"/>
      <c r="F118" s="159"/>
      <c r="G118" s="159"/>
      <c r="H118" s="159"/>
      <c r="I118" s="162" t="s">
        <v>541</v>
      </c>
      <c r="J118" s="159" t="s">
        <v>762</v>
      </c>
      <c r="K118" s="161" t="s">
        <v>770</v>
      </c>
      <c r="L118" s="181"/>
      <c r="M118" s="161" t="s">
        <v>790</v>
      </c>
      <c r="N118" s="181"/>
      <c r="O118" s="155" t="s">
        <v>654</v>
      </c>
      <c r="P118" s="160"/>
      <c r="Q118" s="163"/>
      <c r="R118" s="163"/>
      <c r="S118" s="161" t="s">
        <v>791</v>
      </c>
      <c r="T118" s="153"/>
      <c r="U118" s="161" t="s">
        <v>792</v>
      </c>
      <c r="V118" s="520"/>
      <c r="W118" s="787"/>
      <c r="X118" s="159"/>
      <c r="Y118" s="158"/>
      <c r="Z118" s="158"/>
      <c r="AA118" s="158"/>
      <c r="AB118" s="158"/>
      <c r="AC118" s="502"/>
      <c r="AD118" s="695"/>
      <c r="AE118" s="159" t="s">
        <v>793</v>
      </c>
      <c r="AF118" s="158"/>
      <c r="AG118" s="158" t="s">
        <v>794</v>
      </c>
      <c r="AH118" s="150"/>
      <c r="AI118" s="684"/>
      <c r="AJ118" s="162"/>
      <c r="AK118" s="162"/>
      <c r="AL118" s="162"/>
      <c r="AM118" s="162"/>
      <c r="AN118" s="162"/>
      <c r="AO118" s="162"/>
      <c r="AP118" s="162"/>
      <c r="AQ118" s="162"/>
      <c r="AR118" s="162"/>
      <c r="AS118" s="811"/>
      <c r="AT118" s="527" t="s">
        <v>541</v>
      </c>
      <c r="AU118" s="162" t="s">
        <v>541</v>
      </c>
      <c r="AV118" s="164" t="s">
        <v>541</v>
      </c>
      <c r="AW118" s="164" t="s">
        <v>541</v>
      </c>
      <c r="AX118" s="164" t="s">
        <v>541</v>
      </c>
      <c r="AY118" s="162" t="s">
        <v>541</v>
      </c>
      <c r="AZ118" s="164" t="s">
        <v>541</v>
      </c>
      <c r="BA118" s="162" t="s">
        <v>541</v>
      </c>
      <c r="BB118" s="695"/>
      <c r="BC118" s="165"/>
      <c r="BD118" s="522"/>
      <c r="BE118" s="522"/>
      <c r="BF118" s="522"/>
      <c r="BG118" s="522"/>
      <c r="BH118" s="522"/>
      <c r="BI118" s="522"/>
      <c r="BJ118" s="806"/>
      <c r="BK118" s="524" t="s">
        <v>541</v>
      </c>
      <c r="BL118" s="522" t="s">
        <v>541</v>
      </c>
      <c r="BN118" s="343"/>
      <c r="BO118" s="343"/>
      <c r="BP118" s="343"/>
    </row>
    <row r="119" spans="1:68">
      <c r="A119" s="149">
        <v>59</v>
      </c>
      <c r="B119" s="156" t="s">
        <v>212</v>
      </c>
      <c r="C119" s="172" t="s">
        <v>1090</v>
      </c>
      <c r="D119" s="148"/>
      <c r="E119" s="766"/>
      <c r="F119" s="173" t="s">
        <v>1997</v>
      </c>
      <c r="G119" s="148" t="s">
        <v>541</v>
      </c>
      <c r="H119" s="148" t="s">
        <v>541</v>
      </c>
      <c r="I119" s="150" t="s">
        <v>541</v>
      </c>
      <c r="J119" s="173">
        <v>107.86799999999999</v>
      </c>
      <c r="K119" s="156"/>
      <c r="L119" s="154"/>
      <c r="M119" s="174"/>
      <c r="N119" s="167"/>
      <c r="O119" s="156"/>
      <c r="P119" s="154"/>
      <c r="Q119" s="156"/>
      <c r="R119" s="156"/>
      <c r="S119" s="153"/>
      <c r="T119" s="153"/>
      <c r="U119" s="153"/>
      <c r="V119" s="518">
        <v>8.3000000000000007</v>
      </c>
      <c r="X119" s="512"/>
      <c r="Y119" s="156"/>
      <c r="Z119" s="156"/>
      <c r="AA119" s="156"/>
      <c r="AB119" s="156"/>
      <c r="AC119" s="501"/>
      <c r="AD119" s="690"/>
      <c r="AE119" s="512">
        <v>5.0000000000000001E-3</v>
      </c>
      <c r="AF119" s="186"/>
      <c r="AG119" s="186"/>
      <c r="AH119" s="186"/>
      <c r="AI119" s="721"/>
      <c r="AJ119" s="156"/>
      <c r="AK119" s="156"/>
      <c r="AL119" s="156"/>
      <c r="AM119" s="156"/>
      <c r="AN119" s="156"/>
      <c r="AO119" s="156"/>
      <c r="AP119" s="156"/>
      <c r="AQ119" s="156"/>
      <c r="AR119" s="156"/>
      <c r="AS119" s="690"/>
      <c r="AT119" s="512"/>
      <c r="AU119" s="153"/>
      <c r="AV119" s="156"/>
      <c r="AW119" s="153"/>
      <c r="AX119" s="156"/>
      <c r="AY119" s="153"/>
      <c r="AZ119" s="156"/>
      <c r="BA119" s="156"/>
      <c r="BB119" s="684"/>
      <c r="BC119" s="157"/>
      <c r="BD119" s="521"/>
      <c r="BE119" s="521"/>
      <c r="BF119" s="521"/>
      <c r="BG119" s="521"/>
      <c r="BH119" s="521"/>
      <c r="BI119" s="521"/>
      <c r="BJ119" s="795"/>
      <c r="BK119" s="523"/>
      <c r="BL119" s="521"/>
      <c r="BN119" s="343"/>
      <c r="BO119" s="343"/>
      <c r="BP119" s="343"/>
    </row>
    <row r="120" spans="1:68" ht="63.75">
      <c r="A120" s="149"/>
      <c r="B120" s="158"/>
      <c r="C120" s="172"/>
      <c r="D120" s="148"/>
      <c r="E120" s="766"/>
      <c r="F120" s="159"/>
      <c r="G120" s="159"/>
      <c r="H120" s="159"/>
      <c r="I120" s="170" t="s">
        <v>541</v>
      </c>
      <c r="J120" s="159" t="s">
        <v>1070</v>
      </c>
      <c r="K120" s="158"/>
      <c r="L120" s="160"/>
      <c r="M120" s="160"/>
      <c r="N120" s="160"/>
      <c r="O120" s="155"/>
      <c r="P120" s="160"/>
      <c r="Q120" s="158"/>
      <c r="R120" s="158"/>
      <c r="S120" s="158"/>
      <c r="T120" s="153"/>
      <c r="U120" s="158"/>
      <c r="V120" s="518" t="s">
        <v>1362</v>
      </c>
      <c r="W120" s="794"/>
      <c r="X120" s="185"/>
      <c r="Y120" s="161"/>
      <c r="Z120" s="161"/>
      <c r="AA120" s="161"/>
      <c r="AB120" s="161"/>
      <c r="AC120" s="497"/>
      <c r="AD120" s="678"/>
      <c r="AE120" s="185" t="s">
        <v>1091</v>
      </c>
      <c r="AF120" s="161"/>
      <c r="AG120" s="177"/>
      <c r="AH120" s="177"/>
      <c r="AI120" s="714"/>
      <c r="AJ120" s="174"/>
      <c r="AK120" s="174"/>
      <c r="AL120" s="174"/>
      <c r="AM120" s="174"/>
      <c r="AN120" s="174"/>
      <c r="AO120" s="174"/>
      <c r="AP120" s="174"/>
      <c r="AQ120" s="174"/>
      <c r="AR120" s="174"/>
      <c r="AS120" s="786"/>
      <c r="AT120" s="515"/>
      <c r="AU120" s="162" t="s">
        <v>541</v>
      </c>
      <c r="AV120" s="174"/>
      <c r="AW120" s="164" t="s">
        <v>541</v>
      </c>
      <c r="AX120" s="174"/>
      <c r="AY120" s="162" t="s">
        <v>541</v>
      </c>
      <c r="AZ120" s="174"/>
      <c r="BA120" s="163"/>
      <c r="BB120" s="695"/>
      <c r="BC120" s="165"/>
      <c r="BD120" s="522"/>
      <c r="BE120" s="522"/>
      <c r="BF120" s="522"/>
      <c r="BG120" s="522"/>
      <c r="BH120" s="522"/>
      <c r="BI120" s="522"/>
      <c r="BJ120" s="806"/>
      <c r="BK120" s="524"/>
      <c r="BL120" s="522"/>
      <c r="BN120" s="343"/>
      <c r="BO120" s="343"/>
      <c r="BP120" s="343"/>
    </row>
    <row r="121" spans="1:68" s="772" customFormat="1" ht="38.25">
      <c r="A121" s="681">
        <v>60</v>
      </c>
      <c r="B121" s="689" t="s">
        <v>213</v>
      </c>
      <c r="C121" s="707" t="s">
        <v>1092</v>
      </c>
      <c r="D121" s="679"/>
      <c r="E121" s="766"/>
      <c r="F121" s="709" t="s">
        <v>1997</v>
      </c>
      <c r="G121" s="679" t="s">
        <v>1997</v>
      </c>
      <c r="H121" s="679" t="s">
        <v>541</v>
      </c>
      <c r="I121" s="682" t="s">
        <v>541</v>
      </c>
      <c r="J121" s="709">
        <v>10.811</v>
      </c>
      <c r="K121" s="689" t="s">
        <v>541</v>
      </c>
      <c r="L121" s="687" t="s">
        <v>541</v>
      </c>
      <c r="M121" s="710" t="s">
        <v>541</v>
      </c>
      <c r="N121" s="702" t="s">
        <v>541</v>
      </c>
      <c r="O121" s="689" t="s">
        <v>541</v>
      </c>
      <c r="P121" s="687" t="s">
        <v>541</v>
      </c>
      <c r="Q121" s="689" t="s">
        <v>541</v>
      </c>
      <c r="R121" s="689" t="s">
        <v>541</v>
      </c>
      <c r="S121" s="686">
        <v>0.23</v>
      </c>
      <c r="T121" s="686">
        <f>10^S121</f>
        <v>1.6982436524617444</v>
      </c>
      <c r="U121" s="686">
        <f>LOG(V121)</f>
        <v>0.47712125471966244</v>
      </c>
      <c r="V121" s="789">
        <v>3</v>
      </c>
      <c r="W121" s="674"/>
      <c r="X121" s="780">
        <v>0.3</v>
      </c>
      <c r="Y121" s="780">
        <v>0.17</v>
      </c>
      <c r="Z121" s="689">
        <f>Y121</f>
        <v>0.17</v>
      </c>
      <c r="AA121" s="689" t="s">
        <v>541</v>
      </c>
      <c r="AB121" s="689" t="s">
        <v>541</v>
      </c>
      <c r="AC121" s="775" t="s">
        <v>541</v>
      </c>
      <c r="AD121" s="690"/>
      <c r="AE121" s="780"/>
      <c r="AF121" s="720"/>
      <c r="AG121" s="720"/>
      <c r="AH121" s="720"/>
      <c r="AI121" s="721"/>
      <c r="AJ121" s="710" t="s">
        <v>2513</v>
      </c>
      <c r="AK121" s="710" t="s">
        <v>2513</v>
      </c>
      <c r="AL121" s="710" t="s">
        <v>2513</v>
      </c>
      <c r="AM121" s="710" t="s">
        <v>2514</v>
      </c>
      <c r="AN121" s="710" t="s">
        <v>2514</v>
      </c>
      <c r="AO121" s="710" t="s">
        <v>2514</v>
      </c>
      <c r="AP121" s="710" t="s">
        <v>2514</v>
      </c>
      <c r="AQ121" s="710" t="s">
        <v>2514</v>
      </c>
      <c r="AR121" s="710" t="s">
        <v>2514</v>
      </c>
      <c r="AS121" s="810"/>
      <c r="AT121" s="709"/>
      <c r="AU121" s="686"/>
      <c r="AV121" s="686"/>
      <c r="AW121" s="686"/>
      <c r="AX121" s="897"/>
      <c r="AY121" s="686"/>
      <c r="AZ121" s="686"/>
      <c r="BA121" s="689"/>
      <c r="BB121" s="684"/>
      <c r="BC121" s="686">
        <v>3.3E-3</v>
      </c>
      <c r="BD121" s="686">
        <v>3.3E-3</v>
      </c>
      <c r="BE121" s="686">
        <v>3.3E-3</v>
      </c>
      <c r="BF121" s="686">
        <v>0</v>
      </c>
      <c r="BG121" s="686">
        <v>3.3E-3</v>
      </c>
      <c r="BH121" s="686">
        <v>0</v>
      </c>
      <c r="BI121" s="686">
        <v>0</v>
      </c>
      <c r="BJ121" s="795"/>
      <c r="BK121" s="870">
        <v>3.3E-3</v>
      </c>
      <c r="BL121" s="691"/>
      <c r="BM121" s="802"/>
      <c r="BN121" s="869">
        <v>1E-3</v>
      </c>
      <c r="BO121" s="869">
        <v>0.25</v>
      </c>
      <c r="BP121" s="869">
        <v>1</v>
      </c>
    </row>
    <row r="122" spans="1:68" s="772" customFormat="1" ht="38.25">
      <c r="A122" s="681"/>
      <c r="B122" s="692"/>
      <c r="C122" s="707"/>
      <c r="D122" s="679"/>
      <c r="E122" s="766"/>
      <c r="F122" s="693"/>
      <c r="G122" s="693"/>
      <c r="H122" s="693"/>
      <c r="I122" s="705" t="s">
        <v>541</v>
      </c>
      <c r="J122" s="693" t="s">
        <v>2201</v>
      </c>
      <c r="K122" s="692"/>
      <c r="L122" s="694"/>
      <c r="M122" s="694"/>
      <c r="N122" s="694"/>
      <c r="O122" s="688"/>
      <c r="P122" s="694"/>
      <c r="Q122" s="692"/>
      <c r="R122" s="692"/>
      <c r="S122" s="692" t="s">
        <v>2204</v>
      </c>
      <c r="T122" s="686"/>
      <c r="U122" s="692"/>
      <c r="V122" s="789" t="s">
        <v>1362</v>
      </c>
      <c r="W122" s="794"/>
      <c r="X122" s="719" t="s">
        <v>2206</v>
      </c>
      <c r="Y122" s="719" t="s">
        <v>2205</v>
      </c>
      <c r="Z122" s="696"/>
      <c r="AA122" s="696"/>
      <c r="AB122" s="696"/>
      <c r="AC122" s="774"/>
      <c r="AD122" s="678"/>
      <c r="AE122" s="719"/>
      <c r="AF122" s="696"/>
      <c r="AG122" s="713"/>
      <c r="AH122" s="713"/>
      <c r="AI122" s="714"/>
      <c r="AJ122" s="710" t="s">
        <v>2515</v>
      </c>
      <c r="AK122" s="710" t="s">
        <v>2515</v>
      </c>
      <c r="AL122" s="710" t="s">
        <v>2515</v>
      </c>
      <c r="AM122" s="710" t="s">
        <v>2515</v>
      </c>
      <c r="AN122" s="710" t="s">
        <v>2515</v>
      </c>
      <c r="AO122" s="710" t="s">
        <v>2515</v>
      </c>
      <c r="AP122" s="710" t="s">
        <v>2515</v>
      </c>
      <c r="AQ122" s="710" t="s">
        <v>2515</v>
      </c>
      <c r="AR122" s="710" t="s">
        <v>2515</v>
      </c>
      <c r="AS122" s="786"/>
      <c r="AT122" s="781"/>
      <c r="AU122" s="697"/>
      <c r="AV122" s="710"/>
      <c r="AW122" s="699"/>
      <c r="AX122" s="710"/>
      <c r="AY122" s="697"/>
      <c r="AZ122" s="703"/>
      <c r="BA122" s="698"/>
      <c r="BB122" s="695"/>
      <c r="BC122" s="874" t="s">
        <v>2210</v>
      </c>
      <c r="BD122" s="870" t="s">
        <v>2160</v>
      </c>
      <c r="BE122" s="870" t="s">
        <v>2160</v>
      </c>
      <c r="BF122" s="710" t="s">
        <v>2209</v>
      </c>
      <c r="BG122" s="870" t="s">
        <v>2160</v>
      </c>
      <c r="BH122" s="710" t="s">
        <v>2209</v>
      </c>
      <c r="BI122" s="710" t="s">
        <v>2209</v>
      </c>
      <c r="BJ122" s="806"/>
      <c r="BK122" s="874" t="s">
        <v>2210</v>
      </c>
      <c r="BL122" s="700"/>
      <c r="BM122" s="802"/>
      <c r="BN122" s="869" t="s">
        <v>2208</v>
      </c>
      <c r="BO122" s="869" t="s">
        <v>2208</v>
      </c>
      <c r="BP122" s="869" t="s">
        <v>2208</v>
      </c>
    </row>
    <row r="123" spans="1:68" s="772" customFormat="1">
      <c r="A123" s="681">
        <v>61</v>
      </c>
      <c r="B123" s="689" t="s">
        <v>214</v>
      </c>
      <c r="C123" s="707" t="s">
        <v>1093</v>
      </c>
      <c r="D123" s="679"/>
      <c r="E123" s="766"/>
      <c r="F123" s="709" t="s">
        <v>1997</v>
      </c>
      <c r="G123" s="679" t="s">
        <v>541</v>
      </c>
      <c r="H123" s="679" t="s">
        <v>541</v>
      </c>
      <c r="I123" s="682" t="s">
        <v>541</v>
      </c>
      <c r="J123" s="709">
        <v>87.62</v>
      </c>
      <c r="K123" s="689"/>
      <c r="L123" s="687"/>
      <c r="M123" s="710"/>
      <c r="N123" s="702"/>
      <c r="O123" s="689"/>
      <c r="P123" s="687"/>
      <c r="Q123" s="689"/>
      <c r="R123" s="689"/>
      <c r="S123" s="686"/>
      <c r="T123" s="686"/>
      <c r="U123" s="686"/>
      <c r="V123" s="789">
        <v>35</v>
      </c>
      <c r="W123" s="674"/>
      <c r="X123" s="780"/>
      <c r="Y123" s="689"/>
      <c r="Z123" s="689"/>
      <c r="AA123" s="689"/>
      <c r="AB123" s="689"/>
      <c r="AC123" s="775"/>
      <c r="AD123" s="690"/>
      <c r="AE123" s="780">
        <v>0.6</v>
      </c>
      <c r="AF123" s="720"/>
      <c r="AG123" s="720"/>
      <c r="AH123" s="720"/>
      <c r="AI123" s="721"/>
      <c r="AJ123" s="686"/>
      <c r="AK123" s="686"/>
      <c r="AL123" s="686"/>
      <c r="AM123" s="686"/>
      <c r="AN123" s="686"/>
      <c r="AO123" s="686"/>
      <c r="AP123" s="686"/>
      <c r="AQ123" s="686"/>
      <c r="AR123" s="686"/>
      <c r="AS123" s="810"/>
      <c r="AT123" s="709"/>
      <c r="AU123" s="686"/>
      <c r="AV123" s="686"/>
      <c r="AW123" s="686"/>
      <c r="AX123" s="686"/>
      <c r="AY123" s="686"/>
      <c r="AZ123" s="686"/>
      <c r="BA123" s="689"/>
      <c r="BB123" s="684"/>
      <c r="BC123" s="691"/>
      <c r="BD123" s="799"/>
      <c r="BE123" s="799"/>
      <c r="BF123" s="799"/>
      <c r="BG123" s="799"/>
      <c r="BH123" s="799"/>
      <c r="BI123" s="799"/>
      <c r="BJ123" s="795"/>
      <c r="BK123" s="803"/>
      <c r="BL123" s="799"/>
      <c r="BM123" s="802"/>
      <c r="BN123" s="869"/>
      <c r="BO123" s="869"/>
      <c r="BP123" s="869"/>
    </row>
    <row r="124" spans="1:68" s="772" customFormat="1" ht="63.75">
      <c r="A124" s="681"/>
      <c r="B124" s="692"/>
      <c r="C124" s="707"/>
      <c r="D124" s="679"/>
      <c r="E124" s="766"/>
      <c r="F124" s="693"/>
      <c r="G124" s="693"/>
      <c r="H124" s="693"/>
      <c r="I124" s="705" t="s">
        <v>541</v>
      </c>
      <c r="J124" s="693" t="s">
        <v>1070</v>
      </c>
      <c r="K124" s="692"/>
      <c r="L124" s="694"/>
      <c r="M124" s="694"/>
      <c r="N124" s="694"/>
      <c r="O124" s="688"/>
      <c r="P124" s="694"/>
      <c r="Q124" s="692"/>
      <c r="R124" s="692"/>
      <c r="S124" s="692"/>
      <c r="T124" s="686"/>
      <c r="U124" s="692"/>
      <c r="V124" s="789" t="s">
        <v>1362</v>
      </c>
      <c r="W124" s="794"/>
      <c r="X124" s="719"/>
      <c r="Y124" s="696"/>
      <c r="Z124" s="696"/>
      <c r="AA124" s="696"/>
      <c r="AB124" s="696"/>
      <c r="AC124" s="774"/>
      <c r="AD124" s="678"/>
      <c r="AE124" s="719" t="s">
        <v>834</v>
      </c>
      <c r="AF124" s="696"/>
      <c r="AG124" s="713"/>
      <c r="AH124" s="713"/>
      <c r="AI124" s="714"/>
      <c r="AJ124" s="710"/>
      <c r="AK124" s="710"/>
      <c r="AL124" s="710"/>
      <c r="AM124" s="710"/>
      <c r="AN124" s="710"/>
      <c r="AO124" s="710"/>
      <c r="AP124" s="710"/>
      <c r="AQ124" s="710"/>
      <c r="AR124" s="710"/>
      <c r="AS124" s="786"/>
      <c r="AT124" s="781"/>
      <c r="AU124" s="697" t="s">
        <v>541</v>
      </c>
      <c r="AV124" s="710"/>
      <c r="AW124" s="699" t="s">
        <v>541</v>
      </c>
      <c r="AX124" s="703"/>
      <c r="AY124" s="697" t="s">
        <v>541</v>
      </c>
      <c r="AZ124" s="703"/>
      <c r="BA124" s="698"/>
      <c r="BB124" s="695"/>
      <c r="BC124" s="700"/>
      <c r="BD124" s="800"/>
      <c r="BE124" s="800"/>
      <c r="BF124" s="800"/>
      <c r="BG124" s="800"/>
      <c r="BH124" s="800"/>
      <c r="BI124" s="800"/>
      <c r="BJ124" s="806"/>
      <c r="BK124" s="804"/>
      <c r="BL124" s="800"/>
      <c r="BM124" s="802"/>
      <c r="BN124" s="869"/>
      <c r="BO124" s="869"/>
      <c r="BP124" s="869"/>
    </row>
    <row r="125" spans="1:68" s="772" customFormat="1">
      <c r="A125" s="681">
        <v>62</v>
      </c>
      <c r="B125" s="689" t="s">
        <v>347</v>
      </c>
      <c r="C125" s="683" t="s">
        <v>795</v>
      </c>
      <c r="D125" s="682"/>
      <c r="E125" s="767"/>
      <c r="F125" s="709" t="s">
        <v>1996</v>
      </c>
      <c r="G125" s="679" t="s">
        <v>541</v>
      </c>
      <c r="H125" s="679" t="s">
        <v>541</v>
      </c>
      <c r="I125" s="689" t="s">
        <v>541</v>
      </c>
      <c r="J125" s="709">
        <v>422.86799999999999</v>
      </c>
      <c r="K125" s="689">
        <v>0.1</v>
      </c>
      <c r="L125" s="687">
        <v>25</v>
      </c>
      <c r="M125" s="710">
        <v>241000</v>
      </c>
      <c r="N125" s="702" t="s">
        <v>541</v>
      </c>
      <c r="O125" s="689">
        <v>0.101325</v>
      </c>
      <c r="P125" s="687">
        <v>25</v>
      </c>
      <c r="Q125" s="689"/>
      <c r="R125" s="689"/>
      <c r="S125" s="686">
        <v>6.6</v>
      </c>
      <c r="T125" s="686">
        <f>10^S125</f>
        <v>3981071.705534976</v>
      </c>
      <c r="U125" s="686">
        <f>LOG(50000)</f>
        <v>4.6989700043360187</v>
      </c>
      <c r="V125" s="790">
        <f>10^U125</f>
        <v>50000.000000000007</v>
      </c>
      <c r="W125" s="690"/>
      <c r="X125" s="780"/>
      <c r="Y125" s="689"/>
      <c r="Z125" s="689"/>
      <c r="AA125" s="689"/>
      <c r="AB125" s="689"/>
      <c r="AC125" s="775"/>
      <c r="AD125" s="690"/>
      <c r="AE125" s="780">
        <v>1.4999999999999999E-2</v>
      </c>
      <c r="AF125" s="689"/>
      <c r="AG125" s="689"/>
      <c r="AH125" s="689"/>
      <c r="AI125" s="690"/>
      <c r="AJ125" s="686"/>
      <c r="AK125" s="686"/>
      <c r="AL125" s="686"/>
      <c r="AM125" s="686"/>
      <c r="AN125" s="686"/>
      <c r="AO125" s="686"/>
      <c r="AP125" s="686"/>
      <c r="AQ125" s="686"/>
      <c r="AR125" s="686"/>
      <c r="AS125" s="810"/>
      <c r="AT125" s="709"/>
      <c r="AU125" s="686"/>
      <c r="AV125" s="686"/>
      <c r="AW125" s="686"/>
      <c r="AX125" s="689"/>
      <c r="AY125" s="686"/>
      <c r="AZ125" s="686"/>
      <c r="BA125" s="686"/>
      <c r="BB125" s="684"/>
      <c r="BC125" s="691"/>
      <c r="BD125" s="799"/>
      <c r="BE125" s="799"/>
      <c r="BF125" s="799"/>
      <c r="BG125" s="799"/>
      <c r="BH125" s="799"/>
      <c r="BI125" s="799"/>
      <c r="BJ125" s="795"/>
      <c r="BK125" s="803"/>
      <c r="BL125" s="799"/>
      <c r="BM125" s="802"/>
      <c r="BN125" s="869"/>
      <c r="BO125" s="869"/>
      <c r="BP125" s="869"/>
    </row>
    <row r="126" spans="1:68" s="772" customFormat="1" ht="92.25" customHeight="1">
      <c r="A126" s="681"/>
      <c r="B126" s="692"/>
      <c r="C126" s="683"/>
      <c r="D126" s="682"/>
      <c r="E126" s="767"/>
      <c r="F126" s="693"/>
      <c r="G126" s="693"/>
      <c r="H126" s="693"/>
      <c r="I126" s="697" t="s">
        <v>541</v>
      </c>
      <c r="J126" s="693" t="s">
        <v>762</v>
      </c>
      <c r="K126" s="692" t="s">
        <v>796</v>
      </c>
      <c r="L126" s="694"/>
      <c r="M126" s="696" t="s">
        <v>797</v>
      </c>
      <c r="N126" s="716"/>
      <c r="O126" s="688" t="s">
        <v>798</v>
      </c>
      <c r="P126" s="694"/>
      <c r="Q126" s="692"/>
      <c r="R126" s="692"/>
      <c r="S126" s="694" t="s">
        <v>797</v>
      </c>
      <c r="T126" s="686"/>
      <c r="U126" s="692" t="s">
        <v>797</v>
      </c>
      <c r="V126" s="790"/>
      <c r="W126" s="695"/>
      <c r="X126" s="693"/>
      <c r="Y126" s="692"/>
      <c r="Z126" s="692"/>
      <c r="AA126" s="692"/>
      <c r="AB126" s="692"/>
      <c r="AC126" s="776"/>
      <c r="AD126" s="695"/>
      <c r="AE126" s="693" t="s">
        <v>799</v>
      </c>
      <c r="AF126" s="698"/>
      <c r="AG126" s="692"/>
      <c r="AH126" s="692"/>
      <c r="AI126" s="695"/>
      <c r="AJ126" s="697"/>
      <c r="AK126" s="697"/>
      <c r="AL126" s="697"/>
      <c r="AM126" s="697"/>
      <c r="AN126" s="697"/>
      <c r="AO126" s="697"/>
      <c r="AP126" s="697"/>
      <c r="AQ126" s="697"/>
      <c r="AR126" s="697"/>
      <c r="AS126" s="811"/>
      <c r="AT126" s="808" t="s">
        <v>541</v>
      </c>
      <c r="AU126" s="697" t="s">
        <v>541</v>
      </c>
      <c r="AV126" s="699" t="s">
        <v>541</v>
      </c>
      <c r="AW126" s="699" t="s">
        <v>541</v>
      </c>
      <c r="AX126" s="699" t="s">
        <v>541</v>
      </c>
      <c r="AY126" s="697" t="s">
        <v>541</v>
      </c>
      <c r="AZ126" s="699" t="s">
        <v>541</v>
      </c>
      <c r="BA126" s="697" t="s">
        <v>541</v>
      </c>
      <c r="BB126" s="695"/>
      <c r="BC126" s="700"/>
      <c r="BD126" s="800"/>
      <c r="BE126" s="800"/>
      <c r="BF126" s="800"/>
      <c r="BG126" s="800"/>
      <c r="BH126" s="800"/>
      <c r="BI126" s="800"/>
      <c r="BJ126" s="806"/>
      <c r="BK126" s="804" t="s">
        <v>541</v>
      </c>
      <c r="BL126" s="800" t="s">
        <v>541</v>
      </c>
      <c r="BM126" s="802"/>
      <c r="BN126" s="869"/>
      <c r="BO126" s="869"/>
      <c r="BP126" s="869"/>
    </row>
    <row r="127" spans="1:68" s="772" customFormat="1">
      <c r="A127" s="681">
        <v>63</v>
      </c>
      <c r="B127" s="689" t="s">
        <v>58</v>
      </c>
      <c r="C127" s="707" t="s">
        <v>800</v>
      </c>
      <c r="D127" s="679"/>
      <c r="E127" s="766"/>
      <c r="F127" s="709" t="s">
        <v>1996</v>
      </c>
      <c r="G127" s="679" t="s">
        <v>541</v>
      </c>
      <c r="H127" s="679" t="s">
        <v>541</v>
      </c>
      <c r="I127" s="689" t="s">
        <v>541</v>
      </c>
      <c r="J127" s="709">
        <v>126.584</v>
      </c>
      <c r="K127" s="689">
        <v>117</v>
      </c>
      <c r="L127" s="687">
        <v>25</v>
      </c>
      <c r="M127" s="710">
        <v>190.51</v>
      </c>
      <c r="N127" s="702">
        <v>10</v>
      </c>
      <c r="O127" s="689">
        <v>295</v>
      </c>
      <c r="P127" s="687">
        <v>20</v>
      </c>
      <c r="Q127" s="689"/>
      <c r="R127" s="689"/>
      <c r="S127" s="686">
        <v>3.42</v>
      </c>
      <c r="T127" s="686">
        <f>10^S127</f>
        <v>2630.2679918953822</v>
      </c>
      <c r="U127" s="686">
        <v>3.03</v>
      </c>
      <c r="V127" s="790">
        <f>10^U127</f>
        <v>1071.5193052376069</v>
      </c>
      <c r="W127" s="674"/>
      <c r="X127" s="780"/>
      <c r="Y127" s="689"/>
      <c r="Z127" s="689"/>
      <c r="AA127" s="689"/>
      <c r="AB127" s="689"/>
      <c r="AC127" s="775"/>
      <c r="AD127" s="690"/>
      <c r="AE127" s="780">
        <v>0.02</v>
      </c>
      <c r="AF127" s="689"/>
      <c r="AG127" s="689"/>
      <c r="AH127" s="689"/>
      <c r="AI127" s="690"/>
      <c r="AJ127" s="686"/>
      <c r="AK127" s="686"/>
      <c r="AL127" s="686"/>
      <c r="AM127" s="686"/>
      <c r="AN127" s="686"/>
      <c r="AO127" s="686"/>
      <c r="AP127" s="686"/>
      <c r="AQ127" s="686"/>
      <c r="AR127" s="686"/>
      <c r="AS127" s="810"/>
      <c r="AT127" s="709"/>
      <c r="AU127" s="686"/>
      <c r="AV127" s="689"/>
      <c r="AW127" s="686"/>
      <c r="AX127" s="689"/>
      <c r="AY127" s="686"/>
      <c r="AZ127" s="686"/>
      <c r="BA127" s="689"/>
      <c r="BB127" s="684"/>
      <c r="BC127" s="691"/>
      <c r="BD127" s="799"/>
      <c r="BE127" s="799"/>
      <c r="BF127" s="799"/>
      <c r="BG127" s="799"/>
      <c r="BH127" s="799"/>
      <c r="BI127" s="799"/>
      <c r="BJ127" s="795"/>
      <c r="BK127" s="803"/>
      <c r="BL127" s="799"/>
      <c r="BM127" s="802"/>
      <c r="BN127" s="869"/>
      <c r="BO127" s="869"/>
      <c r="BP127" s="869"/>
    </row>
    <row r="128" spans="1:68" s="772" customFormat="1" ht="102">
      <c r="A128" s="681"/>
      <c r="B128" s="692"/>
      <c r="C128" s="707"/>
      <c r="D128" s="679"/>
      <c r="E128" s="766"/>
      <c r="F128" s="693"/>
      <c r="G128" s="693"/>
      <c r="H128" s="693"/>
      <c r="I128" s="705" t="s">
        <v>541</v>
      </c>
      <c r="J128" s="693" t="s">
        <v>801</v>
      </c>
      <c r="K128" s="692" t="s">
        <v>802</v>
      </c>
      <c r="L128" s="694"/>
      <c r="M128" s="694" t="s">
        <v>803</v>
      </c>
      <c r="N128" s="694"/>
      <c r="O128" s="688" t="s">
        <v>654</v>
      </c>
      <c r="P128" s="694"/>
      <c r="Q128" s="692"/>
      <c r="R128" s="692"/>
      <c r="S128" s="694" t="s">
        <v>804</v>
      </c>
      <c r="T128" s="686"/>
      <c r="U128" s="692" t="s">
        <v>805</v>
      </c>
      <c r="V128" s="790"/>
      <c r="W128" s="794"/>
      <c r="X128" s="719"/>
      <c r="Y128" s="696"/>
      <c r="Z128" s="696"/>
      <c r="AA128" s="696"/>
      <c r="AB128" s="696"/>
      <c r="AC128" s="774"/>
      <c r="AD128" s="678"/>
      <c r="AE128" s="719" t="s">
        <v>806</v>
      </c>
      <c r="AF128" s="698"/>
      <c r="AG128" s="692"/>
      <c r="AH128" s="692"/>
      <c r="AI128" s="695"/>
      <c r="AJ128" s="696"/>
      <c r="AK128" s="696"/>
      <c r="AL128" s="696"/>
      <c r="AM128" s="696"/>
      <c r="AN128" s="696"/>
      <c r="AO128" s="696"/>
      <c r="AP128" s="696"/>
      <c r="AQ128" s="696"/>
      <c r="AR128" s="696"/>
      <c r="AS128" s="678"/>
      <c r="AT128" s="719"/>
      <c r="AU128" s="697" t="s">
        <v>541</v>
      </c>
      <c r="AV128" s="698"/>
      <c r="AW128" s="699" t="s">
        <v>541</v>
      </c>
      <c r="AX128" s="698"/>
      <c r="AY128" s="697" t="s">
        <v>541</v>
      </c>
      <c r="AZ128" s="699" t="s">
        <v>541</v>
      </c>
      <c r="BA128" s="698"/>
      <c r="BB128" s="695"/>
      <c r="BC128" s="700"/>
      <c r="BD128" s="800"/>
      <c r="BE128" s="800"/>
      <c r="BF128" s="800"/>
      <c r="BG128" s="800"/>
      <c r="BH128" s="800"/>
      <c r="BI128" s="800"/>
      <c r="BJ128" s="806"/>
      <c r="BK128" s="804" t="s">
        <v>541</v>
      </c>
      <c r="BL128" s="800" t="s">
        <v>541</v>
      </c>
      <c r="BM128" s="802"/>
      <c r="BN128" s="869"/>
      <c r="BO128" s="869"/>
      <c r="BP128" s="869"/>
    </row>
    <row r="129" spans="1:68" s="772" customFormat="1">
      <c r="A129" s="681">
        <v>64</v>
      </c>
      <c r="B129" s="682" t="s">
        <v>62</v>
      </c>
      <c r="C129" s="707" t="s">
        <v>807</v>
      </c>
      <c r="D129" s="679"/>
      <c r="E129" s="766"/>
      <c r="F129" s="709" t="s">
        <v>1996</v>
      </c>
      <c r="G129" s="679" t="s">
        <v>541</v>
      </c>
      <c r="H129" s="679" t="s">
        <v>541</v>
      </c>
      <c r="I129" s="682" t="s">
        <v>541</v>
      </c>
      <c r="J129" s="709">
        <v>157.00800000000001</v>
      </c>
      <c r="K129" s="679">
        <v>387</v>
      </c>
      <c r="L129" s="702">
        <v>10</v>
      </c>
      <c r="M129" s="689">
        <v>136.80000000000001</v>
      </c>
      <c r="N129" s="687">
        <v>10</v>
      </c>
      <c r="O129" s="689">
        <v>92</v>
      </c>
      <c r="P129" s="687">
        <v>10</v>
      </c>
      <c r="Q129" s="689"/>
      <c r="R129" s="689"/>
      <c r="S129" s="686">
        <v>2.99</v>
      </c>
      <c r="T129" s="686">
        <f>10^S129</f>
        <v>977.23722095581138</v>
      </c>
      <c r="U129" s="686">
        <v>2.4900000000000002</v>
      </c>
      <c r="V129" s="790">
        <f>10^U129</f>
        <v>309.02954325135937</v>
      </c>
      <c r="W129" s="787"/>
      <c r="X129" s="780"/>
      <c r="Y129" s="689"/>
      <c r="Z129" s="689"/>
      <c r="AA129" s="689"/>
      <c r="AB129" s="689"/>
      <c r="AC129" s="775"/>
      <c r="AD129" s="690"/>
      <c r="AE129" s="780">
        <v>8.0000000000000002E-3</v>
      </c>
      <c r="AF129" s="689">
        <v>0.06</v>
      </c>
      <c r="AG129" s="689"/>
      <c r="AH129" s="689"/>
      <c r="AI129" s="690"/>
      <c r="AJ129" s="686"/>
      <c r="AK129" s="686"/>
      <c r="AL129" s="686"/>
      <c r="AM129" s="686"/>
      <c r="AN129" s="686"/>
      <c r="AO129" s="686"/>
      <c r="AP129" s="686"/>
      <c r="AQ129" s="686"/>
      <c r="AR129" s="686"/>
      <c r="AS129" s="810"/>
      <c r="AT129" s="709"/>
      <c r="AU129" s="686"/>
      <c r="AV129" s="689"/>
      <c r="AW129" s="686"/>
      <c r="AX129" s="689"/>
      <c r="AY129" s="686"/>
      <c r="AZ129" s="686"/>
      <c r="BA129" s="689"/>
      <c r="BB129" s="684"/>
      <c r="BC129" s="691"/>
      <c r="BD129" s="799"/>
      <c r="BE129" s="799"/>
      <c r="BF129" s="799"/>
      <c r="BG129" s="799"/>
      <c r="BH129" s="799"/>
      <c r="BI129" s="799"/>
      <c r="BJ129" s="795"/>
      <c r="BK129" s="803"/>
      <c r="BL129" s="799"/>
      <c r="BM129" s="802"/>
      <c r="BN129" s="869"/>
      <c r="BO129" s="869"/>
      <c r="BP129" s="869"/>
    </row>
    <row r="130" spans="1:68" s="772" customFormat="1" ht="89.25">
      <c r="A130" s="681"/>
      <c r="B130" s="692"/>
      <c r="C130" s="707"/>
      <c r="D130" s="679"/>
      <c r="E130" s="766"/>
      <c r="F130" s="693"/>
      <c r="G130" s="693"/>
      <c r="H130" s="693"/>
      <c r="I130" s="705" t="s">
        <v>541</v>
      </c>
      <c r="J130" s="693" t="s">
        <v>801</v>
      </c>
      <c r="K130" s="698" t="s">
        <v>808</v>
      </c>
      <c r="L130" s="704"/>
      <c r="M130" s="694" t="s">
        <v>809</v>
      </c>
      <c r="N130" s="694"/>
      <c r="O130" s="688" t="s">
        <v>654</v>
      </c>
      <c r="P130" s="694"/>
      <c r="Q130" s="694"/>
      <c r="R130" s="694"/>
      <c r="S130" s="692" t="s">
        <v>810</v>
      </c>
      <c r="T130" s="686"/>
      <c r="U130" s="692" t="s">
        <v>811</v>
      </c>
      <c r="V130" s="790"/>
      <c r="W130" s="788"/>
      <c r="X130" s="693"/>
      <c r="Y130" s="692"/>
      <c r="Z130" s="692"/>
      <c r="AA130" s="692"/>
      <c r="AB130" s="692"/>
      <c r="AC130" s="776"/>
      <c r="AD130" s="695"/>
      <c r="AE130" s="693" t="s">
        <v>812</v>
      </c>
      <c r="AF130" s="692" t="s">
        <v>812</v>
      </c>
      <c r="AG130" s="692"/>
      <c r="AH130" s="692"/>
      <c r="AI130" s="695"/>
      <c r="AJ130" s="696"/>
      <c r="AK130" s="696"/>
      <c r="AL130" s="696"/>
      <c r="AM130" s="696"/>
      <c r="AN130" s="696"/>
      <c r="AO130" s="696"/>
      <c r="AP130" s="696"/>
      <c r="AQ130" s="696"/>
      <c r="AR130" s="696"/>
      <c r="AS130" s="678"/>
      <c r="AT130" s="719"/>
      <c r="AU130" s="697" t="s">
        <v>541</v>
      </c>
      <c r="AV130" s="698"/>
      <c r="AW130" s="699" t="s">
        <v>541</v>
      </c>
      <c r="AX130" s="698"/>
      <c r="AY130" s="697" t="s">
        <v>541</v>
      </c>
      <c r="AZ130" s="699" t="s">
        <v>541</v>
      </c>
      <c r="BA130" s="698"/>
      <c r="BB130" s="695"/>
      <c r="BC130" s="700"/>
      <c r="BD130" s="800"/>
      <c r="BE130" s="800"/>
      <c r="BF130" s="800"/>
      <c r="BG130" s="800"/>
      <c r="BH130" s="800"/>
      <c r="BI130" s="800"/>
      <c r="BJ130" s="806"/>
      <c r="BK130" s="804" t="s">
        <v>541</v>
      </c>
      <c r="BL130" s="800" t="s">
        <v>541</v>
      </c>
      <c r="BM130" s="802"/>
      <c r="BN130" s="869"/>
      <c r="BO130" s="869"/>
      <c r="BP130" s="869"/>
    </row>
    <row r="131" spans="1:68" s="772" customFormat="1">
      <c r="A131" s="681">
        <v>65</v>
      </c>
      <c r="B131" s="682" t="s">
        <v>82</v>
      </c>
      <c r="C131" s="707" t="s">
        <v>813</v>
      </c>
      <c r="D131" s="679"/>
      <c r="E131" s="766"/>
      <c r="F131" s="709" t="s">
        <v>1996</v>
      </c>
      <c r="G131" s="679" t="s">
        <v>541</v>
      </c>
      <c r="H131" s="679" t="s">
        <v>541</v>
      </c>
      <c r="I131" s="682" t="s">
        <v>541</v>
      </c>
      <c r="J131" s="709">
        <v>79.100999999999999</v>
      </c>
      <c r="K131" s="682">
        <v>1000000</v>
      </c>
      <c r="L131" s="687" t="s">
        <v>541</v>
      </c>
      <c r="M131" s="710">
        <v>809.46858741768449</v>
      </c>
      <c r="N131" s="702">
        <v>10</v>
      </c>
      <c r="O131" s="689">
        <v>27.78</v>
      </c>
      <c r="P131" s="687">
        <v>20</v>
      </c>
      <c r="Q131" s="689">
        <v>1.9999999999999999E-6</v>
      </c>
      <c r="R131" s="689"/>
      <c r="S131" s="686">
        <v>0.65</v>
      </c>
      <c r="T131" s="686">
        <f>10^S131</f>
        <v>4.4668359215096318</v>
      </c>
      <c r="U131" s="686">
        <f>LOG(39.8107176,10)</f>
        <v>1.6000000059415811</v>
      </c>
      <c r="V131" s="790">
        <f>10^U131</f>
        <v>39.810717600000011</v>
      </c>
      <c r="W131" s="674"/>
      <c r="X131" s="780"/>
      <c r="Y131" s="689"/>
      <c r="Z131" s="689"/>
      <c r="AA131" s="689"/>
      <c r="AB131" s="689"/>
      <c r="AC131" s="775"/>
      <c r="AD131" s="690"/>
      <c r="AE131" s="780">
        <v>1E-3</v>
      </c>
      <c r="AF131" s="710">
        <v>0.12</v>
      </c>
      <c r="AG131" s="689"/>
      <c r="AH131" s="689"/>
      <c r="AI131" s="690"/>
      <c r="AJ131" s="686"/>
      <c r="AK131" s="686"/>
      <c r="AL131" s="686"/>
      <c r="AM131" s="686"/>
      <c r="AN131" s="686"/>
      <c r="AO131" s="686"/>
      <c r="AP131" s="686"/>
      <c r="AQ131" s="686"/>
      <c r="AR131" s="686"/>
      <c r="AS131" s="810"/>
      <c r="AT131" s="709"/>
      <c r="AU131" s="686"/>
      <c r="AV131" s="686"/>
      <c r="AW131" s="686"/>
      <c r="AX131" s="689"/>
      <c r="AY131" s="686"/>
      <c r="AZ131" s="686"/>
      <c r="BA131" s="686"/>
      <c r="BB131" s="684"/>
      <c r="BC131" s="691"/>
      <c r="BD131" s="799"/>
      <c r="BE131" s="799"/>
      <c r="BF131" s="799"/>
      <c r="BG131" s="799"/>
      <c r="BH131" s="799"/>
      <c r="BI131" s="799"/>
      <c r="BJ131" s="795"/>
      <c r="BK131" s="803"/>
      <c r="BL131" s="799"/>
      <c r="BM131" s="802"/>
      <c r="BN131" s="869"/>
      <c r="BO131" s="869"/>
      <c r="BP131" s="869"/>
    </row>
    <row r="132" spans="1:68" s="772" customFormat="1" ht="242.25">
      <c r="A132" s="681"/>
      <c r="B132" s="692"/>
      <c r="C132" s="707"/>
      <c r="D132" s="679"/>
      <c r="E132" s="766"/>
      <c r="F132" s="693"/>
      <c r="G132" s="693"/>
      <c r="H132" s="693"/>
      <c r="I132" s="697" t="s">
        <v>541</v>
      </c>
      <c r="J132" s="693" t="s">
        <v>814</v>
      </c>
      <c r="K132" s="692" t="s">
        <v>815</v>
      </c>
      <c r="L132" s="694"/>
      <c r="M132" s="694" t="s">
        <v>764</v>
      </c>
      <c r="N132" s="694"/>
      <c r="O132" s="688" t="s">
        <v>654</v>
      </c>
      <c r="P132" s="694"/>
      <c r="Q132" s="692" t="s">
        <v>816</v>
      </c>
      <c r="R132" s="692"/>
      <c r="S132" s="694" t="s">
        <v>681</v>
      </c>
      <c r="T132" s="686"/>
      <c r="U132" s="692" t="s">
        <v>817</v>
      </c>
      <c r="V132" s="790"/>
      <c r="W132" s="674"/>
      <c r="X132" s="693"/>
      <c r="Y132" s="692"/>
      <c r="Z132" s="692"/>
      <c r="AA132" s="692"/>
      <c r="AB132" s="692"/>
      <c r="AC132" s="776"/>
      <c r="AD132" s="695"/>
      <c r="AE132" s="693" t="s">
        <v>818</v>
      </c>
      <c r="AF132" s="698" t="s">
        <v>819</v>
      </c>
      <c r="AG132" s="692"/>
      <c r="AH132" s="692"/>
      <c r="AI132" s="695"/>
      <c r="AJ132" s="697"/>
      <c r="AK132" s="697"/>
      <c r="AL132" s="697"/>
      <c r="AM132" s="697"/>
      <c r="AN132" s="717">
        <v>4.1900000000000001E-3</v>
      </c>
      <c r="AO132" s="717">
        <v>4.1900000000000001E-3</v>
      </c>
      <c r="AP132" s="717">
        <v>4.1900000000000001E-3</v>
      </c>
      <c r="AQ132" s="717">
        <v>4.1900000000000001E-3</v>
      </c>
      <c r="AR132" s="717">
        <v>4.1900000000000001E-3</v>
      </c>
      <c r="AS132" s="811"/>
      <c r="AT132" s="808" t="s">
        <v>541</v>
      </c>
      <c r="AU132" s="697" t="s">
        <v>541</v>
      </c>
      <c r="AV132" s="699" t="s">
        <v>541</v>
      </c>
      <c r="AW132" s="699" t="s">
        <v>541</v>
      </c>
      <c r="AX132" s="699" t="s">
        <v>541</v>
      </c>
      <c r="AY132" s="697" t="s">
        <v>541</v>
      </c>
      <c r="AZ132" s="699" t="s">
        <v>541</v>
      </c>
      <c r="BA132" s="697" t="s">
        <v>541</v>
      </c>
      <c r="BB132" s="695"/>
      <c r="BC132" s="700"/>
      <c r="BD132" s="800"/>
      <c r="BE132" s="800"/>
      <c r="BF132" s="800"/>
      <c r="BG132" s="800"/>
      <c r="BH132" s="800"/>
      <c r="BI132" s="800"/>
      <c r="BJ132" s="806"/>
      <c r="BK132" s="804" t="s">
        <v>541</v>
      </c>
      <c r="BL132" s="800" t="s">
        <v>541</v>
      </c>
      <c r="BM132" s="802"/>
      <c r="BN132" s="869"/>
      <c r="BO132" s="869"/>
      <c r="BP132" s="869"/>
    </row>
    <row r="133" spans="1:68" s="772" customFormat="1">
      <c r="A133" s="681">
        <v>66</v>
      </c>
      <c r="B133" s="689" t="s">
        <v>119</v>
      </c>
      <c r="C133" s="707" t="s">
        <v>820</v>
      </c>
      <c r="D133" s="679" t="s">
        <v>2449</v>
      </c>
      <c r="E133" s="766"/>
      <c r="F133" s="709" t="s">
        <v>1996</v>
      </c>
      <c r="G133" s="709" t="s">
        <v>1997</v>
      </c>
      <c r="H133" s="709" t="s">
        <v>541</v>
      </c>
      <c r="I133" s="689">
        <v>13.27</v>
      </c>
      <c r="J133" s="709">
        <v>30.026</v>
      </c>
      <c r="K133" s="687">
        <v>400000</v>
      </c>
      <c r="L133" s="687">
        <v>20</v>
      </c>
      <c r="M133" s="710">
        <v>518090.84639999998</v>
      </c>
      <c r="N133" s="702">
        <v>25</v>
      </c>
      <c r="O133" s="689">
        <v>1.023E-2</v>
      </c>
      <c r="P133" s="687">
        <v>10</v>
      </c>
      <c r="Q133" s="689" t="s">
        <v>541</v>
      </c>
      <c r="R133" s="689" t="s">
        <v>541</v>
      </c>
      <c r="S133" s="686">
        <v>0.35</v>
      </c>
      <c r="T133" s="686">
        <v>2.2387211385683394</v>
      </c>
      <c r="U133" s="686">
        <v>0</v>
      </c>
      <c r="V133" s="790">
        <v>1</v>
      </c>
      <c r="W133" s="674"/>
      <c r="X133" s="780">
        <v>9.8244580777096125E-3</v>
      </c>
      <c r="Y133" s="689">
        <v>0.2</v>
      </c>
      <c r="Z133" s="689">
        <v>0.2</v>
      </c>
      <c r="AA133" s="689">
        <v>1.2999999999999999E-2</v>
      </c>
      <c r="AB133" s="689">
        <v>1E-8</v>
      </c>
      <c r="AC133" s="689">
        <v>1E-8</v>
      </c>
      <c r="AD133" s="690"/>
      <c r="AE133" s="780"/>
      <c r="AF133" s="689"/>
      <c r="AG133" s="689"/>
      <c r="AH133" s="689"/>
      <c r="AI133" s="690"/>
      <c r="AJ133" s="717">
        <v>5.5100000000000001E-3</v>
      </c>
      <c r="AK133" s="717">
        <v>5.5100000000000001E-3</v>
      </c>
      <c r="AL133" s="717">
        <v>5.5100000000000001E-3</v>
      </c>
      <c r="AM133" s="717">
        <v>4.1900000000000001E-3</v>
      </c>
      <c r="AN133" s="717">
        <v>4.1900000000000001E-3</v>
      </c>
      <c r="AO133" s="717">
        <v>4.1900000000000001E-3</v>
      </c>
      <c r="AP133" s="717">
        <v>4.1900000000000001E-3</v>
      </c>
      <c r="AQ133" s="717">
        <v>4.1900000000000001E-3</v>
      </c>
      <c r="AR133" s="717">
        <v>4.1900000000000001E-3</v>
      </c>
      <c r="AS133" s="810"/>
      <c r="AT133" s="709"/>
      <c r="AU133" s="686"/>
      <c r="AV133" s="686"/>
      <c r="AW133" s="686"/>
      <c r="AX133" s="689"/>
      <c r="AY133" s="686"/>
      <c r="AZ133" s="686"/>
      <c r="BA133" s="686"/>
      <c r="BB133" s="684"/>
      <c r="BC133" s="691"/>
      <c r="BD133" s="799"/>
      <c r="BE133" s="799"/>
      <c r="BF133" s="799"/>
      <c r="BG133" s="799"/>
      <c r="BH133" s="921">
        <v>0</v>
      </c>
      <c r="BI133" s="921">
        <v>0</v>
      </c>
      <c r="BJ133" s="795"/>
      <c r="BK133" s="803"/>
      <c r="BL133" s="799"/>
      <c r="BM133" s="802"/>
      <c r="BN133" s="869"/>
      <c r="BO133" s="922">
        <v>0.25</v>
      </c>
      <c r="BP133" s="922">
        <v>1</v>
      </c>
    </row>
    <row r="134" spans="1:68" s="772" customFormat="1" ht="216.75">
      <c r="A134" s="681"/>
      <c r="B134" s="692"/>
      <c r="C134" s="707"/>
      <c r="D134" s="679"/>
      <c r="E134" s="766"/>
      <c r="F134" s="693"/>
      <c r="G134" s="693" t="s">
        <v>2450</v>
      </c>
      <c r="H134" s="693"/>
      <c r="I134" s="923" t="s">
        <v>2008</v>
      </c>
      <c r="J134" s="685" t="s">
        <v>2089</v>
      </c>
      <c r="K134" s="682" t="s">
        <v>2451</v>
      </c>
      <c r="L134" s="687" t="s">
        <v>2009</v>
      </c>
      <c r="M134" s="687" t="s">
        <v>2451</v>
      </c>
      <c r="N134" s="687" t="s">
        <v>2009</v>
      </c>
      <c r="O134" s="689" t="s">
        <v>2452</v>
      </c>
      <c r="P134" s="687" t="s">
        <v>2011</v>
      </c>
      <c r="Q134" s="692"/>
      <c r="R134" s="692"/>
      <c r="S134" s="682" t="s">
        <v>2453</v>
      </c>
      <c r="T134" s="686" t="s">
        <v>2008</v>
      </c>
      <c r="U134" s="682" t="s">
        <v>2455</v>
      </c>
      <c r="V134" s="790" t="s">
        <v>2454</v>
      </c>
      <c r="W134" s="674"/>
      <c r="X134" s="693" t="s">
        <v>2445</v>
      </c>
      <c r="Y134" s="692" t="s">
        <v>2446</v>
      </c>
      <c r="Z134" s="692" t="s">
        <v>2446</v>
      </c>
      <c r="AA134" s="692" t="s">
        <v>2447</v>
      </c>
      <c r="AB134" s="692" t="s">
        <v>2448</v>
      </c>
      <c r="AC134" s="692" t="s">
        <v>2448</v>
      </c>
      <c r="AD134" s="695"/>
      <c r="AE134" s="693"/>
      <c r="AF134" s="698"/>
      <c r="AG134" s="692"/>
      <c r="AH134" s="692"/>
      <c r="AI134" s="695"/>
      <c r="AJ134" s="923" t="s">
        <v>2193</v>
      </c>
      <c r="AK134" s="923" t="s">
        <v>2193</v>
      </c>
      <c r="AL134" s="923" t="s">
        <v>2193</v>
      </c>
      <c r="AM134" s="923" t="s">
        <v>2194</v>
      </c>
      <c r="AN134" s="923" t="s">
        <v>2194</v>
      </c>
      <c r="AO134" s="923" t="s">
        <v>2194</v>
      </c>
      <c r="AP134" s="923" t="s">
        <v>2194</v>
      </c>
      <c r="AQ134" s="923" t="s">
        <v>2194</v>
      </c>
      <c r="AR134" s="923" t="s">
        <v>2194</v>
      </c>
      <c r="AS134" s="811"/>
      <c r="AT134" s="808"/>
      <c r="AU134" s="697"/>
      <c r="AV134" s="699"/>
      <c r="AW134" s="699"/>
      <c r="AX134" s="699"/>
      <c r="AY134" s="697"/>
      <c r="AZ134" s="699"/>
      <c r="BA134" s="697"/>
      <c r="BB134" s="695"/>
      <c r="BC134" s="924" t="s">
        <v>2141</v>
      </c>
      <c r="BD134" s="924" t="s">
        <v>2141</v>
      </c>
      <c r="BE134" s="924" t="s">
        <v>2141</v>
      </c>
      <c r="BF134" s="924" t="s">
        <v>2141</v>
      </c>
      <c r="BG134" s="924" t="s">
        <v>2141</v>
      </c>
      <c r="BH134" s="925" t="s">
        <v>2158</v>
      </c>
      <c r="BI134" s="925" t="s">
        <v>2158</v>
      </c>
      <c r="BJ134" s="806"/>
      <c r="BK134" s="804"/>
      <c r="BL134" s="800"/>
      <c r="BM134" s="802"/>
      <c r="BN134" s="922" t="s">
        <v>2141</v>
      </c>
      <c r="BO134" s="922" t="s">
        <v>2145</v>
      </c>
      <c r="BP134" s="922" t="s">
        <v>2034</v>
      </c>
    </row>
    <row r="135" spans="1:68" ht="15.75">
      <c r="A135" s="149">
        <v>67</v>
      </c>
      <c r="B135" s="156" t="s">
        <v>120</v>
      </c>
      <c r="C135" s="172" t="s">
        <v>823</v>
      </c>
      <c r="D135" s="148"/>
      <c r="E135" s="766"/>
      <c r="F135" s="173" t="s">
        <v>1996</v>
      </c>
      <c r="G135" s="148" t="s">
        <v>541</v>
      </c>
      <c r="H135" s="148" t="s">
        <v>541</v>
      </c>
      <c r="I135" s="156" t="s">
        <v>541</v>
      </c>
      <c r="J135" s="173">
        <v>44.052</v>
      </c>
      <c r="K135" s="154">
        <v>1000000</v>
      </c>
      <c r="L135" s="154" t="s">
        <v>541</v>
      </c>
      <c r="M135" s="174">
        <v>92150.988873495939</v>
      </c>
      <c r="N135" s="167">
        <v>10</v>
      </c>
      <c r="O135" s="156">
        <v>2.2770000000000001</v>
      </c>
      <c r="P135" s="154">
        <v>10</v>
      </c>
      <c r="Q135" s="156">
        <v>1.9999999999999999E-6</v>
      </c>
      <c r="R135" s="156"/>
      <c r="S135" s="153">
        <v>0.45</v>
      </c>
      <c r="T135" s="153">
        <f>10^S135</f>
        <v>2.8183829312644542</v>
      </c>
      <c r="U135" s="153">
        <f>LOG(1.156,10)</f>
        <v>6.2957834084510209E-2</v>
      </c>
      <c r="V135" s="520">
        <f>10^U135</f>
        <v>1.1559999999999999</v>
      </c>
      <c r="X135" s="512"/>
      <c r="Y135" s="156"/>
      <c r="Z135" s="156"/>
      <c r="AA135" s="156"/>
      <c r="AB135" s="156"/>
      <c r="AC135" s="501"/>
      <c r="AD135" s="690"/>
      <c r="AE135" s="512"/>
      <c r="AF135" s="156">
        <v>8.9999999999999993E-3</v>
      </c>
      <c r="AG135" s="156"/>
      <c r="AH135" s="156">
        <f>0.00001/0.0027</f>
        <v>3.7037037037037038E-3</v>
      </c>
      <c r="AI135" s="690"/>
      <c r="AJ135" s="153"/>
      <c r="AK135" s="153"/>
      <c r="AL135" s="153"/>
      <c r="AM135" s="153"/>
      <c r="AN135" s="153"/>
      <c r="AO135" s="153"/>
      <c r="AP135" s="153"/>
      <c r="AQ135" s="153"/>
      <c r="AR135" s="153"/>
      <c r="AS135" s="810"/>
      <c r="AT135" s="173"/>
      <c r="AU135" s="153"/>
      <c r="AV135" s="153"/>
      <c r="AW135" s="153"/>
      <c r="AX135" s="156"/>
      <c r="AY135" s="153"/>
      <c r="AZ135" s="153"/>
      <c r="BA135" s="153"/>
      <c r="BB135" s="684"/>
      <c r="BC135" s="157"/>
      <c r="BD135" s="521"/>
      <c r="BE135" s="521"/>
      <c r="BF135" s="521"/>
      <c r="BG135" s="521"/>
      <c r="BH135" s="521"/>
      <c r="BI135" s="521"/>
      <c r="BJ135" s="795"/>
      <c r="BK135" s="523"/>
      <c r="BL135" s="521"/>
      <c r="BN135" s="343"/>
      <c r="BO135" s="343"/>
      <c r="BP135" s="343"/>
    </row>
    <row r="136" spans="1:68" ht="267.75">
      <c r="A136" s="149"/>
      <c r="B136" s="158"/>
      <c r="C136" s="172"/>
      <c r="D136" s="148"/>
      <c r="E136" s="766"/>
      <c r="F136" s="159"/>
      <c r="G136" s="159"/>
      <c r="H136" s="159"/>
      <c r="I136" s="170" t="s">
        <v>541</v>
      </c>
      <c r="J136" s="159" t="s">
        <v>680</v>
      </c>
      <c r="K136" s="158" t="s">
        <v>815</v>
      </c>
      <c r="L136" s="160"/>
      <c r="M136" s="160" t="s">
        <v>764</v>
      </c>
      <c r="N136" s="160"/>
      <c r="O136" s="155" t="s">
        <v>654</v>
      </c>
      <c r="P136" s="160"/>
      <c r="Q136" s="158" t="s">
        <v>821</v>
      </c>
      <c r="R136" s="158"/>
      <c r="S136" s="160" t="s">
        <v>681</v>
      </c>
      <c r="T136" s="153"/>
      <c r="U136" s="158" t="s">
        <v>824</v>
      </c>
      <c r="V136" s="520"/>
      <c r="X136" s="159"/>
      <c r="Y136" s="158"/>
      <c r="Z136" s="158"/>
      <c r="AA136" s="158"/>
      <c r="AB136" s="158"/>
      <c r="AC136" s="502"/>
      <c r="AD136" s="695"/>
      <c r="AE136" s="159"/>
      <c r="AF136" s="163" t="s">
        <v>825</v>
      </c>
      <c r="AG136" s="158"/>
      <c r="AH136" s="158" t="s">
        <v>822</v>
      </c>
      <c r="AI136" s="695"/>
      <c r="AJ136" s="162"/>
      <c r="AK136" s="162"/>
      <c r="AL136" s="162"/>
      <c r="AM136" s="162"/>
      <c r="AN136" s="162"/>
      <c r="AO136" s="162"/>
      <c r="AP136" s="162"/>
      <c r="AQ136" s="162"/>
      <c r="AR136" s="162"/>
      <c r="AS136" s="811"/>
      <c r="AT136" s="527" t="s">
        <v>541</v>
      </c>
      <c r="AU136" s="162" t="s">
        <v>541</v>
      </c>
      <c r="AV136" s="164" t="s">
        <v>541</v>
      </c>
      <c r="AW136" s="164" t="s">
        <v>541</v>
      </c>
      <c r="AX136" s="164" t="s">
        <v>541</v>
      </c>
      <c r="AY136" s="162" t="s">
        <v>541</v>
      </c>
      <c r="AZ136" s="164" t="s">
        <v>541</v>
      </c>
      <c r="BA136" s="162" t="s">
        <v>541</v>
      </c>
      <c r="BB136" s="695"/>
      <c r="BC136" s="165"/>
      <c r="BD136" s="522"/>
      <c r="BE136" s="522"/>
      <c r="BF136" s="522"/>
      <c r="BG136" s="522"/>
      <c r="BH136" s="522"/>
      <c r="BI136" s="522"/>
      <c r="BJ136" s="806"/>
      <c r="BK136" s="524" t="s">
        <v>541</v>
      </c>
      <c r="BL136" s="522" t="s">
        <v>541</v>
      </c>
      <c r="BN136" s="343"/>
      <c r="BO136" s="343"/>
      <c r="BP136" s="343"/>
    </row>
    <row r="137" spans="1:68">
      <c r="A137" s="149">
        <v>68</v>
      </c>
      <c r="B137" s="150" t="s">
        <v>348</v>
      </c>
      <c r="C137" s="151" t="s">
        <v>826</v>
      </c>
      <c r="D137" s="150"/>
      <c r="E137" s="767"/>
      <c r="F137" s="173" t="s">
        <v>1996</v>
      </c>
      <c r="G137" s="173" t="s">
        <v>1996</v>
      </c>
      <c r="H137" s="173" t="s">
        <v>1416</v>
      </c>
      <c r="I137" s="150">
        <v>-0.3</v>
      </c>
      <c r="J137" s="173">
        <v>73.099999999999994</v>
      </c>
      <c r="K137" s="148">
        <v>948000</v>
      </c>
      <c r="L137" s="167" t="s">
        <v>541</v>
      </c>
      <c r="M137" s="156">
        <v>380</v>
      </c>
      <c r="N137" s="154">
        <v>20</v>
      </c>
      <c r="O137" s="156">
        <v>7.4879174999999999E-3</v>
      </c>
      <c r="P137" s="154">
        <v>25</v>
      </c>
      <c r="Q137" s="156"/>
      <c r="R137" s="156"/>
      <c r="S137" s="153">
        <v>-1.01</v>
      </c>
      <c r="T137" s="153">
        <f>10^S137</f>
        <v>9.7723722095581056E-2</v>
      </c>
      <c r="U137" s="153">
        <v>-1.4</v>
      </c>
      <c r="V137" s="520">
        <f>10^U137</f>
        <v>3.9810717055349727E-2</v>
      </c>
      <c r="W137" s="787"/>
      <c r="X137" s="512"/>
      <c r="Y137" s="156"/>
      <c r="Z137" s="156"/>
      <c r="AA137" s="156"/>
      <c r="AB137" s="156"/>
      <c r="AC137" s="501"/>
      <c r="AD137" s="690"/>
      <c r="AE137" s="512"/>
      <c r="AF137" s="156">
        <v>0.03</v>
      </c>
      <c r="AG137" s="156"/>
      <c r="AH137" s="156"/>
      <c r="AI137" s="690"/>
      <c r="AJ137" s="153"/>
      <c r="AK137" s="153"/>
      <c r="AL137" s="153"/>
      <c r="AM137" s="153"/>
      <c r="AN137" s="153"/>
      <c r="AO137" s="153"/>
      <c r="AP137" s="153"/>
      <c r="AQ137" s="153"/>
      <c r="AR137" s="153"/>
      <c r="AS137" s="810"/>
      <c r="AT137" s="173"/>
      <c r="AU137" s="153"/>
      <c r="AV137" s="156"/>
      <c r="AW137" s="153"/>
      <c r="AX137" s="156"/>
      <c r="AY137" s="153"/>
      <c r="AZ137" s="153"/>
      <c r="BA137" s="156"/>
      <c r="BB137" s="684"/>
      <c r="BC137" s="157"/>
      <c r="BD137" s="521"/>
      <c r="BE137" s="521"/>
      <c r="BF137" s="521"/>
      <c r="BG137" s="521"/>
      <c r="BH137" s="521"/>
      <c r="BI137" s="521"/>
      <c r="BJ137" s="795"/>
      <c r="BK137" s="523"/>
      <c r="BL137" s="521"/>
      <c r="BN137" s="343"/>
      <c r="BO137" s="343"/>
      <c r="BP137" s="343"/>
    </row>
    <row r="138" spans="1:68" ht="165.75">
      <c r="A138" s="149"/>
      <c r="B138" s="158"/>
      <c r="C138" s="151"/>
      <c r="D138" s="150"/>
      <c r="E138" s="767"/>
      <c r="F138" s="159"/>
      <c r="G138" s="159"/>
      <c r="H138" s="159"/>
      <c r="I138" s="170" t="s">
        <v>833</v>
      </c>
      <c r="J138" s="159" t="s">
        <v>827</v>
      </c>
      <c r="K138" s="163" t="s">
        <v>828</v>
      </c>
      <c r="L138" s="169"/>
      <c r="M138" s="160" t="s">
        <v>829</v>
      </c>
      <c r="N138" s="160"/>
      <c r="O138" s="155" t="s">
        <v>798</v>
      </c>
      <c r="P138" s="160"/>
      <c r="Q138" s="160" t="s">
        <v>830</v>
      </c>
      <c r="R138" s="160"/>
      <c r="S138" s="160" t="s">
        <v>831</v>
      </c>
      <c r="T138" s="153"/>
      <c r="U138" s="160" t="s">
        <v>832</v>
      </c>
      <c r="V138" s="520"/>
      <c r="W138" s="788"/>
      <c r="X138" s="159"/>
      <c r="Y138" s="158"/>
      <c r="Z138" s="158"/>
      <c r="AA138" s="158"/>
      <c r="AB138" s="158"/>
      <c r="AC138" s="502"/>
      <c r="AD138" s="695"/>
      <c r="AE138" s="159"/>
      <c r="AF138" s="161" t="s">
        <v>834</v>
      </c>
      <c r="AG138" s="158"/>
      <c r="AH138" s="158"/>
      <c r="AI138" s="695"/>
      <c r="AJ138" s="161"/>
      <c r="AK138" s="161"/>
      <c r="AL138" s="161"/>
      <c r="AM138" s="161"/>
      <c r="AN138" s="161"/>
      <c r="AO138" s="161"/>
      <c r="AP138" s="161"/>
      <c r="AQ138" s="161"/>
      <c r="AR138" s="161"/>
      <c r="AS138" s="678"/>
      <c r="AT138" s="185"/>
      <c r="AU138" s="162" t="s">
        <v>541</v>
      </c>
      <c r="AV138" s="163"/>
      <c r="AW138" s="164" t="s">
        <v>541</v>
      </c>
      <c r="AX138" s="163"/>
      <c r="AY138" s="162"/>
      <c r="AZ138" s="164"/>
      <c r="BA138" s="163"/>
      <c r="BB138" s="695"/>
      <c r="BC138" s="165"/>
      <c r="BD138" s="522"/>
      <c r="BE138" s="522"/>
      <c r="BF138" s="522"/>
      <c r="BG138" s="522"/>
      <c r="BH138" s="522"/>
      <c r="BI138" s="522"/>
      <c r="BJ138" s="806"/>
      <c r="BK138" s="524" t="s">
        <v>541</v>
      </c>
      <c r="BL138" s="522" t="s">
        <v>541</v>
      </c>
      <c r="BN138" s="343"/>
      <c r="BO138" s="343"/>
      <c r="BP138" s="343"/>
    </row>
    <row r="139" spans="1:68">
      <c r="A139" s="149">
        <v>69</v>
      </c>
      <c r="B139" s="156" t="s">
        <v>215</v>
      </c>
      <c r="C139" s="151" t="s">
        <v>841</v>
      </c>
      <c r="D139" s="150"/>
      <c r="E139" s="767"/>
      <c r="F139" s="173" t="s">
        <v>1997</v>
      </c>
      <c r="G139" s="173" t="s">
        <v>1996</v>
      </c>
      <c r="H139" s="173" t="s">
        <v>845</v>
      </c>
      <c r="I139" s="156">
        <v>9.25</v>
      </c>
      <c r="J139" s="173">
        <v>17.03</v>
      </c>
      <c r="K139" s="156">
        <v>482000</v>
      </c>
      <c r="L139" s="154">
        <v>24</v>
      </c>
      <c r="M139" s="174">
        <v>861262</v>
      </c>
      <c r="N139" s="167">
        <v>20</v>
      </c>
      <c r="O139" s="156">
        <v>1.6313325000000001</v>
      </c>
      <c r="P139" s="154">
        <v>25</v>
      </c>
      <c r="Q139" s="156"/>
      <c r="R139" s="156"/>
      <c r="S139" s="153">
        <v>0.23</v>
      </c>
      <c r="T139" s="153">
        <f>10^S139</f>
        <v>1.6982436524617444</v>
      </c>
      <c r="U139" s="153">
        <v>1.155</v>
      </c>
      <c r="V139" s="520">
        <f>10^U139</f>
        <v>14.288939585111036</v>
      </c>
      <c r="W139" s="788"/>
      <c r="X139" s="512"/>
      <c r="Y139" s="156"/>
      <c r="Z139" s="156"/>
      <c r="AA139" s="156"/>
      <c r="AB139" s="156"/>
      <c r="AC139" s="501"/>
      <c r="AD139" s="690"/>
      <c r="AE139" s="512"/>
      <c r="AF139" s="174">
        <v>7.0000000000000007E-2</v>
      </c>
      <c r="AG139" s="156"/>
      <c r="AH139" s="156"/>
      <c r="AI139" s="690"/>
      <c r="AJ139" s="153"/>
      <c r="AK139" s="153"/>
      <c r="AL139" s="153"/>
      <c r="AM139" s="153"/>
      <c r="AN139" s="153"/>
      <c r="AO139" s="153"/>
      <c r="AP139" s="153"/>
      <c r="AQ139" s="153"/>
      <c r="AR139" s="153"/>
      <c r="AS139" s="810"/>
      <c r="AT139" s="173"/>
      <c r="AU139" s="153"/>
      <c r="AV139" s="156"/>
      <c r="AW139" s="153"/>
      <c r="AX139" s="156"/>
      <c r="AY139" s="153"/>
      <c r="AZ139" s="153"/>
      <c r="BA139" s="156"/>
      <c r="BB139" s="684"/>
      <c r="BC139" s="157"/>
      <c r="BD139" s="521"/>
      <c r="BE139" s="521"/>
      <c r="BF139" s="521"/>
      <c r="BG139" s="521"/>
      <c r="BH139" s="521"/>
      <c r="BI139" s="521"/>
      <c r="BJ139" s="795"/>
      <c r="BK139" s="523"/>
      <c r="BL139" s="521"/>
      <c r="BN139" s="343"/>
      <c r="BO139" s="343"/>
      <c r="BP139" s="343"/>
    </row>
    <row r="140" spans="1:68" ht="89.25">
      <c r="A140" s="149"/>
      <c r="B140" s="177"/>
      <c r="C140" s="151"/>
      <c r="D140" s="150"/>
      <c r="E140" s="767"/>
      <c r="F140" s="159"/>
      <c r="G140" s="159"/>
      <c r="H140" s="159"/>
      <c r="I140" s="170" t="s">
        <v>844</v>
      </c>
      <c r="J140" s="159" t="s">
        <v>801</v>
      </c>
      <c r="K140" s="158" t="s">
        <v>842</v>
      </c>
      <c r="L140" s="160"/>
      <c r="M140" s="160" t="s">
        <v>843</v>
      </c>
      <c r="N140" s="160"/>
      <c r="O140" s="155" t="s">
        <v>798</v>
      </c>
      <c r="P140" s="160"/>
      <c r="Q140" s="160" t="s">
        <v>830</v>
      </c>
      <c r="R140" s="160"/>
      <c r="S140" s="160" t="s">
        <v>676</v>
      </c>
      <c r="T140" s="153"/>
      <c r="U140" s="158" t="s">
        <v>676</v>
      </c>
      <c r="V140" s="520"/>
      <c r="W140" s="678"/>
      <c r="X140" s="159"/>
      <c r="Y140" s="158"/>
      <c r="Z140" s="158"/>
      <c r="AA140" s="158"/>
      <c r="AB140" s="158"/>
      <c r="AC140" s="502"/>
      <c r="AD140" s="695"/>
      <c r="AE140" s="159"/>
      <c r="AF140" s="158" t="s">
        <v>676</v>
      </c>
      <c r="AG140" s="158"/>
      <c r="AH140" s="158"/>
      <c r="AI140" s="695"/>
      <c r="AJ140" s="161"/>
      <c r="AK140" s="161"/>
      <c r="AL140" s="161"/>
      <c r="AM140" s="161"/>
      <c r="AN140" s="161"/>
      <c r="AO140" s="161"/>
      <c r="AP140" s="161"/>
      <c r="AQ140" s="161"/>
      <c r="AR140" s="161"/>
      <c r="AS140" s="678"/>
      <c r="AT140" s="185"/>
      <c r="AU140" s="162" t="s">
        <v>541</v>
      </c>
      <c r="AV140" s="163"/>
      <c r="AW140" s="164" t="s">
        <v>541</v>
      </c>
      <c r="AX140" s="163"/>
      <c r="AY140" s="162" t="s">
        <v>541</v>
      </c>
      <c r="AZ140" s="164" t="s">
        <v>541</v>
      </c>
      <c r="BA140" s="163"/>
      <c r="BB140" s="695"/>
      <c r="BC140" s="165"/>
      <c r="BD140" s="522"/>
      <c r="BE140" s="522"/>
      <c r="BF140" s="522"/>
      <c r="BG140" s="522"/>
      <c r="BH140" s="522"/>
      <c r="BI140" s="522"/>
      <c r="BJ140" s="806"/>
      <c r="BK140" s="524" t="s">
        <v>541</v>
      </c>
      <c r="BL140" s="522" t="s">
        <v>541</v>
      </c>
      <c r="BN140" s="343"/>
      <c r="BO140" s="343"/>
      <c r="BP140" s="343"/>
    </row>
    <row r="141" spans="1:68" s="772" customFormat="1">
      <c r="A141" s="681">
        <v>70</v>
      </c>
      <c r="B141" s="689" t="s">
        <v>217</v>
      </c>
      <c r="C141" s="707" t="s">
        <v>846</v>
      </c>
      <c r="D141" s="679" t="s">
        <v>40</v>
      </c>
      <c r="E141" s="766"/>
      <c r="F141" s="709" t="s">
        <v>1996</v>
      </c>
      <c r="G141" s="709" t="s">
        <v>1996</v>
      </c>
      <c r="H141" s="709" t="s">
        <v>1416</v>
      </c>
      <c r="I141" s="689">
        <v>3.19</v>
      </c>
      <c r="J141" s="709">
        <v>20.010000000000002</v>
      </c>
      <c r="K141" s="689">
        <v>1000000</v>
      </c>
      <c r="L141" s="687">
        <v>25</v>
      </c>
      <c r="M141" s="710">
        <f>917.2*133.3224</f>
        <v>122283.30528</v>
      </c>
      <c r="N141" s="702">
        <v>25</v>
      </c>
      <c r="O141" s="689">
        <f>0.000104*101325</f>
        <v>10.537799999999999</v>
      </c>
      <c r="P141" s="687">
        <v>25</v>
      </c>
      <c r="Q141" s="689" t="s">
        <v>541</v>
      </c>
      <c r="R141" s="689" t="s">
        <v>541</v>
      </c>
      <c r="S141" s="686">
        <v>0.23</v>
      </c>
      <c r="T141" s="686">
        <f>10^S141</f>
        <v>1.6982436524617444</v>
      </c>
      <c r="U141" s="686">
        <f>LOG10(13.22)</f>
        <v>1.1212314551496214</v>
      </c>
      <c r="V141" s="790">
        <f>10^U141</f>
        <v>13.220000000000002</v>
      </c>
      <c r="W141" s="788"/>
      <c r="X141" s="780">
        <v>1.4E-2</v>
      </c>
      <c r="Y141" s="689">
        <v>0.04</v>
      </c>
      <c r="Z141" s="689">
        <v>0.04</v>
      </c>
      <c r="AA141" s="689"/>
      <c r="AB141" s="689"/>
      <c r="AC141" s="775"/>
      <c r="AD141" s="690"/>
      <c r="AE141" s="780"/>
      <c r="AF141" s="689"/>
      <c r="AG141" s="689"/>
      <c r="AH141" s="689"/>
      <c r="AI141" s="690"/>
      <c r="AJ141" s="689">
        <v>5.3602346085537701E-3</v>
      </c>
      <c r="AK141" s="689">
        <v>5.3602346085537701E-3</v>
      </c>
      <c r="AL141" s="689">
        <v>5.3602346085537701E-3</v>
      </c>
      <c r="AM141" s="689">
        <v>2.7584731626711001E-3</v>
      </c>
      <c r="AN141" s="689">
        <v>2.7584731626711001E-3</v>
      </c>
      <c r="AO141" s="689">
        <v>2.7584731626711001E-3</v>
      </c>
      <c r="AP141" s="689">
        <v>2.7584731626711001E-3</v>
      </c>
      <c r="AQ141" s="689">
        <v>2.7584731626711001E-3</v>
      </c>
      <c r="AR141" s="689">
        <v>2.7584731626711001E-3</v>
      </c>
      <c r="AS141" s="810"/>
      <c r="AT141" s="709"/>
      <c r="AU141" s="686"/>
      <c r="AV141" s="689"/>
      <c r="AW141" s="686"/>
      <c r="AX141" s="689"/>
      <c r="AY141" s="686"/>
      <c r="AZ141" s="686"/>
      <c r="BA141" s="689"/>
      <c r="BB141" s="684"/>
      <c r="BC141" s="691"/>
      <c r="BD141" s="799"/>
      <c r="BE141" s="799"/>
      <c r="BF141" s="799"/>
      <c r="BG141" s="799"/>
      <c r="BH141" s="799">
        <v>0</v>
      </c>
      <c r="BI141" s="799">
        <v>0</v>
      </c>
      <c r="BJ141" s="795"/>
      <c r="BK141" s="803"/>
      <c r="BL141" s="799"/>
      <c r="BM141" s="802"/>
      <c r="BN141" s="725" t="s">
        <v>541</v>
      </c>
      <c r="BO141" s="725">
        <v>0.25</v>
      </c>
      <c r="BP141" s="725">
        <v>1</v>
      </c>
    </row>
    <row r="142" spans="1:68" s="772" customFormat="1" ht="51">
      <c r="A142" s="681"/>
      <c r="B142" s="692"/>
      <c r="C142" s="707"/>
      <c r="D142" s="679"/>
      <c r="E142" s="766"/>
      <c r="F142" s="693"/>
      <c r="G142" s="693"/>
      <c r="H142" s="693" t="s">
        <v>2070</v>
      </c>
      <c r="I142" s="705" t="s">
        <v>2071</v>
      </c>
      <c r="J142" s="692" t="s">
        <v>2030</v>
      </c>
      <c r="K142" s="692" t="s">
        <v>2072</v>
      </c>
      <c r="L142" s="694" t="s">
        <v>2009</v>
      </c>
      <c r="M142" s="694" t="s">
        <v>2071</v>
      </c>
      <c r="N142" s="694" t="s">
        <v>2030</v>
      </c>
      <c r="O142" s="688" t="s">
        <v>2073</v>
      </c>
      <c r="P142" s="1162" t="s">
        <v>2030</v>
      </c>
      <c r="Q142" s="694" t="s">
        <v>2012</v>
      </c>
      <c r="R142" s="694"/>
      <c r="S142" s="694" t="s">
        <v>2074</v>
      </c>
      <c r="T142" s="686"/>
      <c r="U142" s="694" t="s">
        <v>2075</v>
      </c>
      <c r="V142" s="686"/>
      <c r="W142" s="788"/>
      <c r="X142" s="693" t="s">
        <v>2128</v>
      </c>
      <c r="Y142" s="692" t="s">
        <v>2128</v>
      </c>
      <c r="Z142" s="692" t="s">
        <v>2128</v>
      </c>
      <c r="AA142" s="692"/>
      <c r="AB142" s="692"/>
      <c r="AC142" s="776"/>
      <c r="AD142" s="695"/>
      <c r="AE142" s="693"/>
      <c r="AF142" s="696"/>
      <c r="AG142" s="692"/>
      <c r="AH142" s="692"/>
      <c r="AI142" s="695"/>
      <c r="AJ142" s="696" t="s">
        <v>2193</v>
      </c>
      <c r="AK142" s="696" t="s">
        <v>2193</v>
      </c>
      <c r="AL142" s="696" t="s">
        <v>2193</v>
      </c>
      <c r="AM142" s="696" t="s">
        <v>2194</v>
      </c>
      <c r="AN142" s="696" t="s">
        <v>2194</v>
      </c>
      <c r="AO142" s="696" t="s">
        <v>2194</v>
      </c>
      <c r="AP142" s="696" t="s">
        <v>2194</v>
      </c>
      <c r="AQ142" s="696" t="s">
        <v>2194</v>
      </c>
      <c r="AR142" s="696" t="s">
        <v>2194</v>
      </c>
      <c r="AS142" s="678"/>
      <c r="AT142" s="719"/>
      <c r="AU142" s="697"/>
      <c r="AV142" s="698"/>
      <c r="AW142" s="699"/>
      <c r="AX142" s="698"/>
      <c r="AY142" s="697"/>
      <c r="AZ142" s="699"/>
      <c r="BA142" s="698"/>
      <c r="BB142" s="695"/>
      <c r="BC142" s="871" t="s">
        <v>2141</v>
      </c>
      <c r="BD142" s="871" t="s">
        <v>2141</v>
      </c>
      <c r="BE142" s="871" t="s">
        <v>2141</v>
      </c>
      <c r="BF142" s="871" t="s">
        <v>2141</v>
      </c>
      <c r="BG142" s="871" t="s">
        <v>2141</v>
      </c>
      <c r="BH142" s="872" t="s">
        <v>2158</v>
      </c>
      <c r="BI142" s="872" t="s">
        <v>2158</v>
      </c>
      <c r="BJ142" s="806"/>
      <c r="BK142" s="804"/>
      <c r="BL142" s="800"/>
      <c r="BM142" s="802"/>
      <c r="BN142" s="725" t="s">
        <v>2146</v>
      </c>
      <c r="BO142" s="725" t="s">
        <v>2147</v>
      </c>
      <c r="BP142" s="725" t="s">
        <v>2147</v>
      </c>
    </row>
    <row r="143" spans="1:68" s="772" customFormat="1" ht="15">
      <c r="A143" s="1007" t="s">
        <v>520</v>
      </c>
      <c r="B143" s="1006" t="s">
        <v>352</v>
      </c>
      <c r="C143" s="707" t="s">
        <v>2323</v>
      </c>
      <c r="D143" s="679"/>
      <c r="E143" s="766"/>
      <c r="F143" s="693" t="s">
        <v>1997</v>
      </c>
      <c r="G143" s="693" t="s">
        <v>1997</v>
      </c>
      <c r="H143" s="693" t="s">
        <v>541</v>
      </c>
      <c r="I143" s="692" t="s">
        <v>541</v>
      </c>
      <c r="J143" s="878">
        <v>35.453000000000003</v>
      </c>
      <c r="K143" s="879">
        <v>42370</v>
      </c>
      <c r="L143" s="879">
        <v>25</v>
      </c>
      <c r="M143" s="879">
        <v>5.5462105263157898E-6</v>
      </c>
      <c r="N143" s="879">
        <v>25</v>
      </c>
      <c r="O143" s="879">
        <v>783.24225000000001</v>
      </c>
      <c r="P143" s="635" t="s">
        <v>541</v>
      </c>
      <c r="Q143" s="880" t="s">
        <v>541</v>
      </c>
      <c r="R143" s="694" t="s">
        <v>541</v>
      </c>
      <c r="S143" s="878">
        <v>0.54</v>
      </c>
      <c r="T143" s="686">
        <f>10^S143</f>
        <v>3.4673685045253171</v>
      </c>
      <c r="U143" s="694">
        <f>LOG(V143)</f>
        <v>0.14612803567823801</v>
      </c>
      <c r="V143" s="878">
        <v>1.4</v>
      </c>
      <c r="W143" s="788"/>
      <c r="X143" s="693" t="s">
        <v>541</v>
      </c>
      <c r="Y143" s="693" t="s">
        <v>541</v>
      </c>
      <c r="Z143" s="693" t="s">
        <v>541</v>
      </c>
      <c r="AA143" s="693" t="s">
        <v>541</v>
      </c>
      <c r="AB143" s="693" t="s">
        <v>541</v>
      </c>
      <c r="AC143" s="693" t="s">
        <v>541</v>
      </c>
      <c r="AD143" s="695"/>
      <c r="AE143" s="693"/>
      <c r="AF143" s="696"/>
      <c r="AG143" s="692"/>
      <c r="AH143" s="692"/>
      <c r="AI143" s="695"/>
      <c r="AJ143" s="696" t="s">
        <v>541</v>
      </c>
      <c r="AK143" s="696" t="s">
        <v>541</v>
      </c>
      <c r="AL143" s="696" t="s">
        <v>541</v>
      </c>
      <c r="AM143" s="696" t="s">
        <v>541</v>
      </c>
      <c r="AN143" s="696" t="s">
        <v>541</v>
      </c>
      <c r="AO143" s="696" t="s">
        <v>541</v>
      </c>
      <c r="AP143" s="696" t="s">
        <v>541</v>
      </c>
      <c r="AQ143" s="696" t="s">
        <v>541</v>
      </c>
      <c r="AR143" s="696" t="s">
        <v>541</v>
      </c>
      <c r="AS143" s="678"/>
      <c r="AT143" s="719"/>
      <c r="AU143" s="697"/>
      <c r="AV143" s="698"/>
      <c r="AW143" s="699"/>
      <c r="AX143" s="698"/>
      <c r="AY143" s="697"/>
      <c r="AZ143" s="699"/>
      <c r="BA143" s="698"/>
      <c r="BB143" s="695"/>
      <c r="BC143" s="871"/>
      <c r="BD143" s="799"/>
      <c r="BE143" s="799"/>
      <c r="BF143" s="799"/>
      <c r="BG143" s="799"/>
      <c r="BH143" s="799"/>
      <c r="BI143" s="799"/>
      <c r="BJ143" s="806"/>
      <c r="BK143" s="804"/>
      <c r="BL143" s="800"/>
      <c r="BM143" s="802"/>
      <c r="BN143" s="870" t="s">
        <v>541</v>
      </c>
      <c r="BO143" s="870">
        <v>0.25</v>
      </c>
      <c r="BP143" s="870">
        <v>1</v>
      </c>
    </row>
    <row r="144" spans="1:68" s="772" customFormat="1" ht="64.5">
      <c r="A144" s="681"/>
      <c r="B144" s="692"/>
      <c r="C144" s="707"/>
      <c r="D144" s="679"/>
      <c r="E144" s="766"/>
      <c r="F144" s="693"/>
      <c r="G144" s="693"/>
      <c r="H144" s="693"/>
      <c r="I144" s="705"/>
      <c r="J144" s="885" t="s">
        <v>2231</v>
      </c>
      <c r="K144" s="883" t="s">
        <v>2232</v>
      </c>
      <c r="L144" s="883"/>
      <c r="M144" s="883" t="s">
        <v>2233</v>
      </c>
      <c r="N144" s="883"/>
      <c r="O144" s="883" t="s">
        <v>2234</v>
      </c>
      <c r="P144" s="817"/>
      <c r="Q144" s="884"/>
      <c r="R144" s="694"/>
      <c r="S144" s="885" t="s">
        <v>2235</v>
      </c>
      <c r="T144" s="686"/>
      <c r="U144" s="694"/>
      <c r="V144" s="885" t="s">
        <v>2236</v>
      </c>
      <c r="W144" s="788"/>
      <c r="X144" s="693"/>
      <c r="Y144" s="693"/>
      <c r="Z144" s="693"/>
      <c r="AA144" s="693"/>
      <c r="AB144" s="693"/>
      <c r="AC144" s="693"/>
      <c r="AD144" s="695"/>
      <c r="AE144" s="693"/>
      <c r="AF144" s="696"/>
      <c r="AG144" s="692"/>
      <c r="AH144" s="692"/>
      <c r="AI144" s="695"/>
      <c r="AJ144" s="696" t="s">
        <v>2221</v>
      </c>
      <c r="AK144" s="696" t="s">
        <v>2221</v>
      </c>
      <c r="AL144" s="696" t="s">
        <v>2221</v>
      </c>
      <c r="AM144" s="696" t="s">
        <v>2221</v>
      </c>
      <c r="AN144" s="696" t="s">
        <v>2221</v>
      </c>
      <c r="AO144" s="696" t="s">
        <v>2221</v>
      </c>
      <c r="AP144" s="696" t="s">
        <v>2221</v>
      </c>
      <c r="AQ144" s="696" t="s">
        <v>2221</v>
      </c>
      <c r="AR144" s="696" t="s">
        <v>2221</v>
      </c>
      <c r="AS144" s="678"/>
      <c r="AT144" s="719"/>
      <c r="AU144" s="697"/>
      <c r="AV144" s="698"/>
      <c r="AW144" s="699"/>
      <c r="AX144" s="698"/>
      <c r="AY144" s="697"/>
      <c r="AZ144" s="699"/>
      <c r="BA144" s="698"/>
      <c r="BB144" s="695"/>
      <c r="BC144" s="871" t="s">
        <v>2141</v>
      </c>
      <c r="BD144" s="871" t="s">
        <v>2141</v>
      </c>
      <c r="BE144" s="871" t="s">
        <v>2141</v>
      </c>
      <c r="BF144" s="871" t="s">
        <v>2141</v>
      </c>
      <c r="BG144" s="871" t="s">
        <v>2141</v>
      </c>
      <c r="BH144" s="871" t="s">
        <v>2141</v>
      </c>
      <c r="BI144" s="871" t="s">
        <v>2141</v>
      </c>
      <c r="BJ144" s="806"/>
      <c r="BK144" s="804"/>
      <c r="BL144" s="800"/>
      <c r="BM144" s="802"/>
      <c r="BN144" s="870" t="s">
        <v>2220</v>
      </c>
      <c r="BO144" s="874" t="s">
        <v>2208</v>
      </c>
      <c r="BP144" s="874" t="s">
        <v>2208</v>
      </c>
    </row>
    <row r="145" spans="1:68" s="772" customFormat="1" ht="15">
      <c r="A145" s="1007" t="s">
        <v>523</v>
      </c>
      <c r="B145" s="1006" t="s">
        <v>353</v>
      </c>
      <c r="C145" s="707" t="s">
        <v>2324</v>
      </c>
      <c r="D145" s="679" t="s">
        <v>2535</v>
      </c>
      <c r="E145" s="766"/>
      <c r="F145" s="693" t="s">
        <v>1997</v>
      </c>
      <c r="G145" s="693" t="s">
        <v>1997</v>
      </c>
      <c r="H145" s="693" t="s">
        <v>541</v>
      </c>
      <c r="I145" s="692" t="s">
        <v>541</v>
      </c>
      <c r="J145" s="926">
        <v>96.063999999999993</v>
      </c>
      <c r="K145" s="878" t="s">
        <v>541</v>
      </c>
      <c r="L145" s="880"/>
      <c r="M145" s="878" t="s">
        <v>541</v>
      </c>
      <c r="N145" s="880"/>
      <c r="O145" s="878" t="s">
        <v>541</v>
      </c>
      <c r="P145" s="1011"/>
      <c r="Q145" s="880" t="s">
        <v>541</v>
      </c>
      <c r="R145" s="694" t="s">
        <v>541</v>
      </c>
      <c r="S145" s="878">
        <v>-2.2000000000000002</v>
      </c>
      <c r="T145" s="686">
        <f>10^S145</f>
        <v>6.3095734448019251E-3</v>
      </c>
      <c r="U145" s="694">
        <f>LOG(V145)</f>
        <v>0.57724133420727819</v>
      </c>
      <c r="V145" s="878">
        <v>3.7778206328513879</v>
      </c>
      <c r="W145" s="788"/>
      <c r="X145" s="693" t="s">
        <v>541</v>
      </c>
      <c r="Y145" s="693" t="s">
        <v>541</v>
      </c>
      <c r="Z145" s="693" t="s">
        <v>541</v>
      </c>
      <c r="AA145" s="693" t="s">
        <v>541</v>
      </c>
      <c r="AB145" s="693" t="s">
        <v>541</v>
      </c>
      <c r="AC145" s="927" t="s">
        <v>541</v>
      </c>
      <c r="AD145" s="695"/>
      <c r="AE145" s="693"/>
      <c r="AF145" s="696"/>
      <c r="AG145" s="692"/>
      <c r="AH145" s="692"/>
      <c r="AI145" s="695"/>
      <c r="AJ145" s="696" t="s">
        <v>541</v>
      </c>
      <c r="AK145" s="696" t="s">
        <v>541</v>
      </c>
      <c r="AL145" s="696" t="s">
        <v>541</v>
      </c>
      <c r="AM145" s="696" t="s">
        <v>541</v>
      </c>
      <c r="AN145" s="696" t="s">
        <v>541</v>
      </c>
      <c r="AO145" s="696" t="s">
        <v>541</v>
      </c>
      <c r="AP145" s="696" t="s">
        <v>541</v>
      </c>
      <c r="AQ145" s="696" t="s">
        <v>541</v>
      </c>
      <c r="AR145" s="696" t="s">
        <v>541</v>
      </c>
      <c r="AS145" s="678"/>
      <c r="AT145" s="719"/>
      <c r="AU145" s="697"/>
      <c r="AV145" s="698"/>
      <c r="AW145" s="699"/>
      <c r="AX145" s="698"/>
      <c r="AY145" s="697"/>
      <c r="AZ145" s="699"/>
      <c r="BA145" s="698"/>
      <c r="BB145" s="695"/>
      <c r="BC145" s="871"/>
      <c r="BD145" s="799"/>
      <c r="BE145" s="799"/>
      <c r="BF145" s="799"/>
      <c r="BG145" s="799"/>
      <c r="BH145" s="799"/>
      <c r="BI145" s="799"/>
      <c r="BJ145" s="806"/>
      <c r="BK145" s="804"/>
      <c r="BL145" s="800"/>
      <c r="BM145" s="802"/>
      <c r="BN145" s="870" t="s">
        <v>541</v>
      </c>
      <c r="BO145" s="870">
        <v>0.25</v>
      </c>
      <c r="BP145" s="870">
        <v>1</v>
      </c>
    </row>
    <row r="146" spans="1:68" s="772" customFormat="1" ht="39">
      <c r="A146" s="681"/>
      <c r="B146" s="692"/>
      <c r="C146" s="707"/>
      <c r="D146" s="679"/>
      <c r="E146" s="766"/>
      <c r="F146" s="693"/>
      <c r="G146" s="693"/>
      <c r="H146" s="693"/>
      <c r="I146" s="705"/>
      <c r="J146" s="884"/>
      <c r="K146" s="884"/>
      <c r="L146" s="884"/>
      <c r="M146" s="884"/>
      <c r="N146" s="884"/>
      <c r="O146" s="884"/>
      <c r="P146" s="817"/>
      <c r="Q146" s="884"/>
      <c r="R146" s="694"/>
      <c r="S146" s="884"/>
      <c r="T146" s="686"/>
      <c r="U146" s="694"/>
      <c r="V146" s="885" t="s">
        <v>2325</v>
      </c>
      <c r="W146" s="788"/>
      <c r="X146" s="693"/>
      <c r="Y146" s="693"/>
      <c r="Z146" s="693"/>
      <c r="AA146" s="693"/>
      <c r="AB146" s="693"/>
      <c r="AC146" s="927"/>
      <c r="AD146" s="695"/>
      <c r="AE146" s="693"/>
      <c r="AF146" s="696"/>
      <c r="AG146" s="692"/>
      <c r="AH146" s="692"/>
      <c r="AI146" s="695"/>
      <c r="AJ146" s="696" t="s">
        <v>2221</v>
      </c>
      <c r="AK146" s="696" t="s">
        <v>2221</v>
      </c>
      <c r="AL146" s="696" t="s">
        <v>2221</v>
      </c>
      <c r="AM146" s="696" t="s">
        <v>2221</v>
      </c>
      <c r="AN146" s="696" t="s">
        <v>2221</v>
      </c>
      <c r="AO146" s="696" t="s">
        <v>2221</v>
      </c>
      <c r="AP146" s="696" t="s">
        <v>2221</v>
      </c>
      <c r="AQ146" s="696" t="s">
        <v>2221</v>
      </c>
      <c r="AR146" s="696" t="s">
        <v>2221</v>
      </c>
      <c r="AS146" s="678"/>
      <c r="AT146" s="719"/>
      <c r="AU146" s="697"/>
      <c r="AV146" s="698"/>
      <c r="AW146" s="699"/>
      <c r="AX146" s="698"/>
      <c r="AY146" s="697"/>
      <c r="AZ146" s="699"/>
      <c r="BA146" s="698"/>
      <c r="BB146" s="695"/>
      <c r="BC146" s="871" t="s">
        <v>2141</v>
      </c>
      <c r="BD146" s="871" t="s">
        <v>2141</v>
      </c>
      <c r="BE146" s="871" t="s">
        <v>2141</v>
      </c>
      <c r="BF146" s="871" t="s">
        <v>2141</v>
      </c>
      <c r="BG146" s="871" t="s">
        <v>2141</v>
      </c>
      <c r="BH146" s="871" t="s">
        <v>2141</v>
      </c>
      <c r="BI146" s="871" t="s">
        <v>2141</v>
      </c>
      <c r="BJ146" s="806"/>
      <c r="BK146" s="804"/>
      <c r="BL146" s="800"/>
      <c r="BM146" s="802"/>
      <c r="BN146" s="870" t="s">
        <v>2220</v>
      </c>
      <c r="BO146" s="874" t="s">
        <v>2208</v>
      </c>
      <c r="BP146" s="874" t="s">
        <v>2208</v>
      </c>
    </row>
    <row r="147" spans="1:68">
      <c r="A147" s="149">
        <v>76</v>
      </c>
      <c r="B147" s="156" t="s">
        <v>79</v>
      </c>
      <c r="C147" s="151" t="s">
        <v>835</v>
      </c>
      <c r="D147" s="150"/>
      <c r="E147" s="767"/>
      <c r="F147" s="173" t="s">
        <v>1996</v>
      </c>
      <c r="G147" s="173" t="s">
        <v>1996</v>
      </c>
      <c r="H147" s="173" t="s">
        <v>1416</v>
      </c>
      <c r="I147" s="156">
        <v>17.100000000000001</v>
      </c>
      <c r="J147" s="173">
        <v>60.1</v>
      </c>
      <c r="K147" s="156">
        <v>1000000</v>
      </c>
      <c r="L147" s="154" t="s">
        <v>541</v>
      </c>
      <c r="M147" s="174">
        <v>2266</v>
      </c>
      <c r="N147" s="167">
        <v>10</v>
      </c>
      <c r="O147" s="156">
        <v>0.52100000000000002</v>
      </c>
      <c r="P147" s="154">
        <v>20</v>
      </c>
      <c r="Q147" s="156"/>
      <c r="R147" s="156"/>
      <c r="S147" s="153">
        <v>0.05</v>
      </c>
      <c r="T147" s="153">
        <f>10^S147</f>
        <v>1.1220184543019636</v>
      </c>
      <c r="U147" s="153">
        <v>-0.34</v>
      </c>
      <c r="V147" s="520">
        <f>10^U147</f>
        <v>0.45708818961487502</v>
      </c>
      <c r="W147" s="788"/>
      <c r="X147" s="512"/>
      <c r="Y147" s="156"/>
      <c r="Z147" s="156"/>
      <c r="AA147" s="156"/>
      <c r="AB147" s="156"/>
      <c r="AC147" s="501"/>
      <c r="AD147" s="690"/>
      <c r="AE147" s="512"/>
      <c r="AF147" s="174">
        <v>7</v>
      </c>
      <c r="AG147" s="156"/>
      <c r="AH147" s="156"/>
      <c r="AI147" s="690"/>
      <c r="AJ147" s="153"/>
      <c r="AK147" s="153"/>
      <c r="AL147" s="153"/>
      <c r="AM147" s="153"/>
      <c r="AN147" s="153"/>
      <c r="AO147" s="153"/>
      <c r="AP147" s="153"/>
      <c r="AQ147" s="153"/>
      <c r="AR147" s="153"/>
      <c r="AS147" s="810"/>
      <c r="AT147" s="173"/>
      <c r="AU147" s="153"/>
      <c r="AV147" s="156"/>
      <c r="AW147" s="153"/>
      <c r="AX147" s="156"/>
      <c r="AY147" s="153"/>
      <c r="AZ147" s="153"/>
      <c r="BA147" s="156"/>
      <c r="BB147" s="684"/>
      <c r="BC147" s="157"/>
      <c r="BD147" s="521"/>
      <c r="BE147" s="521"/>
      <c r="BF147" s="521"/>
      <c r="BG147" s="521"/>
      <c r="BH147" s="521"/>
      <c r="BI147" s="521"/>
      <c r="BJ147" s="795"/>
      <c r="BK147" s="523"/>
      <c r="BL147" s="521"/>
      <c r="BN147" s="193"/>
      <c r="BO147" s="193"/>
      <c r="BP147" s="193"/>
    </row>
    <row r="148" spans="1:68" ht="255">
      <c r="A148" s="149"/>
      <c r="B148" s="177"/>
      <c r="C148" s="151"/>
      <c r="D148" s="150"/>
      <c r="E148" s="767"/>
      <c r="F148" s="159"/>
      <c r="G148" s="159"/>
      <c r="H148" s="159"/>
      <c r="I148" s="170" t="s">
        <v>840</v>
      </c>
      <c r="J148" s="159" t="s">
        <v>801</v>
      </c>
      <c r="K148" s="158" t="s">
        <v>837</v>
      </c>
      <c r="L148" s="160"/>
      <c r="M148" s="160" t="s">
        <v>838</v>
      </c>
      <c r="N148" s="160"/>
      <c r="O148" s="155" t="s">
        <v>654</v>
      </c>
      <c r="P148" s="160"/>
      <c r="Q148" s="160" t="s">
        <v>830</v>
      </c>
      <c r="R148" s="160"/>
      <c r="S148" s="160" t="s">
        <v>839</v>
      </c>
      <c r="T148" s="153"/>
      <c r="U148" s="160" t="s">
        <v>832</v>
      </c>
      <c r="V148" s="520"/>
      <c r="W148" s="678"/>
      <c r="X148" s="159"/>
      <c r="Y148" s="158"/>
      <c r="Z148" s="158"/>
      <c r="AA148" s="158"/>
      <c r="AB148" s="158"/>
      <c r="AC148" s="502"/>
      <c r="AD148" s="695"/>
      <c r="AE148" s="159"/>
      <c r="AF148" s="158" t="s">
        <v>766</v>
      </c>
      <c r="AG148" s="158"/>
      <c r="AH148" s="158"/>
      <c r="AI148" s="695"/>
      <c r="AJ148" s="161"/>
      <c r="AK148" s="161"/>
      <c r="AL148" s="161"/>
      <c r="AM148" s="161"/>
      <c r="AN148" s="161"/>
      <c r="AO148" s="161"/>
      <c r="AP148" s="161"/>
      <c r="AQ148" s="161"/>
      <c r="AR148" s="161"/>
      <c r="AS148" s="678"/>
      <c r="AT148" s="185"/>
      <c r="AU148" s="162" t="s">
        <v>541</v>
      </c>
      <c r="AV148" s="163"/>
      <c r="AW148" s="164" t="s">
        <v>541</v>
      </c>
      <c r="AX148" s="163"/>
      <c r="AY148" s="162" t="s">
        <v>541</v>
      </c>
      <c r="AZ148" s="164" t="s">
        <v>541</v>
      </c>
      <c r="BA148" s="163"/>
      <c r="BB148" s="695"/>
      <c r="BC148" s="165"/>
      <c r="BD148" s="522"/>
      <c r="BE148" s="522"/>
      <c r="BF148" s="522"/>
      <c r="BG148" s="522"/>
      <c r="BH148" s="522"/>
      <c r="BI148" s="522"/>
      <c r="BJ148" s="806"/>
      <c r="BK148" s="524" t="s">
        <v>541</v>
      </c>
      <c r="BL148" s="522" t="s">
        <v>541</v>
      </c>
      <c r="BN148" s="193"/>
      <c r="BO148" s="193"/>
      <c r="BP148" s="193"/>
    </row>
    <row r="149" spans="1:68">
      <c r="A149" s="149">
        <v>77</v>
      </c>
      <c r="B149" s="156" t="s">
        <v>80</v>
      </c>
      <c r="C149" s="172" t="s">
        <v>855</v>
      </c>
      <c r="D149" s="148"/>
      <c r="E149" s="766"/>
      <c r="F149" s="173" t="s">
        <v>1996</v>
      </c>
      <c r="G149" s="173" t="s">
        <v>1996</v>
      </c>
      <c r="H149" s="173" t="s">
        <v>845</v>
      </c>
      <c r="I149" s="156">
        <v>15.5</v>
      </c>
      <c r="J149" s="173">
        <v>32.042000000000002</v>
      </c>
      <c r="K149" s="156">
        <v>1000000</v>
      </c>
      <c r="L149" s="154" t="s">
        <v>541</v>
      </c>
      <c r="M149" s="174">
        <v>4088.8</v>
      </c>
      <c r="N149" s="167">
        <v>10</v>
      </c>
      <c r="O149" s="156">
        <v>0.33400000000000002</v>
      </c>
      <c r="P149" s="154">
        <v>20</v>
      </c>
      <c r="Q149" s="156"/>
      <c r="R149" s="156"/>
      <c r="S149" s="153">
        <v>-0.74</v>
      </c>
      <c r="T149" s="153">
        <f>10^S149</f>
        <v>0.18197008586099833</v>
      </c>
      <c r="U149" s="153">
        <v>-1.1299999999999999</v>
      </c>
      <c r="V149" s="520">
        <f>10^U149</f>
        <v>7.4131024130091761E-2</v>
      </c>
      <c r="X149" s="512"/>
      <c r="Y149" s="156"/>
      <c r="Z149" s="156"/>
      <c r="AA149" s="156"/>
      <c r="AB149" s="156"/>
      <c r="AC149" s="501"/>
      <c r="AD149" s="690"/>
      <c r="AE149" s="512">
        <v>2</v>
      </c>
      <c r="AF149" s="156">
        <v>4</v>
      </c>
      <c r="AG149" s="156"/>
      <c r="AH149" s="156"/>
      <c r="AI149" s="690"/>
      <c r="AJ149" s="153"/>
      <c r="AK149" s="153"/>
      <c r="AL149" s="153"/>
      <c r="AM149" s="153"/>
      <c r="AN149" s="153"/>
      <c r="AO149" s="153"/>
      <c r="AP149" s="153"/>
      <c r="AQ149" s="153"/>
      <c r="AR149" s="153"/>
      <c r="AS149" s="810"/>
      <c r="AT149" s="173"/>
      <c r="AU149" s="153"/>
      <c r="AV149" s="156"/>
      <c r="AW149" s="153"/>
      <c r="AX149" s="156"/>
      <c r="AY149" s="153"/>
      <c r="AZ149" s="153"/>
      <c r="BA149" s="156"/>
      <c r="BB149" s="684"/>
      <c r="BC149" s="157"/>
      <c r="BD149" s="521"/>
      <c r="BE149" s="521"/>
      <c r="BF149" s="521"/>
      <c r="BG149" s="521"/>
      <c r="BH149" s="521"/>
      <c r="BI149" s="521"/>
      <c r="BJ149" s="795"/>
      <c r="BK149" s="523"/>
      <c r="BL149" s="521"/>
      <c r="BN149" s="343"/>
      <c r="BO149" s="343"/>
      <c r="BP149" s="343"/>
    </row>
    <row r="150" spans="1:68" ht="76.5">
      <c r="A150" s="149"/>
      <c r="B150" s="158"/>
      <c r="C150" s="172"/>
      <c r="D150" s="148"/>
      <c r="E150" s="766"/>
      <c r="F150" s="159"/>
      <c r="G150" s="159"/>
      <c r="H150" s="159"/>
      <c r="I150" s="158" t="s">
        <v>801</v>
      </c>
      <c r="J150" s="159" t="s">
        <v>801</v>
      </c>
      <c r="K150" s="158" t="s">
        <v>856</v>
      </c>
      <c r="L150" s="160"/>
      <c r="M150" s="160" t="s">
        <v>857</v>
      </c>
      <c r="N150" s="160"/>
      <c r="O150" s="155" t="s">
        <v>654</v>
      </c>
      <c r="P150" s="160"/>
      <c r="Q150" s="158"/>
      <c r="R150" s="158"/>
      <c r="S150" s="158" t="s">
        <v>801</v>
      </c>
      <c r="T150" s="153"/>
      <c r="U150" s="160" t="s">
        <v>832</v>
      </c>
      <c r="V150" s="520"/>
      <c r="W150" s="794"/>
      <c r="X150" s="185"/>
      <c r="Y150" s="161"/>
      <c r="Z150" s="161"/>
      <c r="AA150" s="161"/>
      <c r="AB150" s="161"/>
      <c r="AC150" s="497"/>
      <c r="AD150" s="678"/>
      <c r="AE150" s="185" t="s">
        <v>858</v>
      </c>
      <c r="AF150" s="163" t="s">
        <v>859</v>
      </c>
      <c r="AG150" s="158"/>
      <c r="AH150" s="158"/>
      <c r="AI150" s="695"/>
      <c r="AJ150" s="161"/>
      <c r="AK150" s="161"/>
      <c r="AL150" s="161"/>
      <c r="AM150" s="161"/>
      <c r="AN150" s="161"/>
      <c r="AO150" s="161"/>
      <c r="AP150" s="161"/>
      <c r="AQ150" s="161"/>
      <c r="AR150" s="161"/>
      <c r="AS150" s="678"/>
      <c r="AT150" s="185"/>
      <c r="AU150" s="162" t="s">
        <v>541</v>
      </c>
      <c r="AV150" s="163"/>
      <c r="AW150" s="164" t="s">
        <v>541</v>
      </c>
      <c r="AX150" s="163"/>
      <c r="AY150" s="162" t="s">
        <v>541</v>
      </c>
      <c r="AZ150" s="164" t="s">
        <v>541</v>
      </c>
      <c r="BA150" s="163"/>
      <c r="BB150" s="695"/>
      <c r="BC150" s="165"/>
      <c r="BD150" s="522"/>
      <c r="BE150" s="522"/>
      <c r="BF150" s="522"/>
      <c r="BG150" s="522"/>
      <c r="BH150" s="522"/>
      <c r="BI150" s="522"/>
      <c r="BJ150" s="806"/>
      <c r="BK150" s="524" t="s">
        <v>541</v>
      </c>
      <c r="BL150" s="522" t="s">
        <v>541</v>
      </c>
      <c r="BN150" s="343"/>
      <c r="BO150" s="343"/>
      <c r="BP150" s="343"/>
    </row>
    <row r="151" spans="1:68">
      <c r="A151" s="149">
        <v>78</v>
      </c>
      <c r="B151" s="156" t="s">
        <v>57</v>
      </c>
      <c r="C151" s="172" t="s">
        <v>865</v>
      </c>
      <c r="D151" s="148"/>
      <c r="E151" s="766"/>
      <c r="F151" s="173" t="s">
        <v>1996</v>
      </c>
      <c r="G151" s="173" t="s">
        <v>1996</v>
      </c>
      <c r="H151" s="173" t="s">
        <v>845</v>
      </c>
      <c r="I151" s="150">
        <v>14.7</v>
      </c>
      <c r="J151" s="173">
        <v>72.105999999999995</v>
      </c>
      <c r="K151" s="156">
        <v>310000</v>
      </c>
      <c r="L151" s="154">
        <v>9.6</v>
      </c>
      <c r="M151" s="174">
        <v>2383.4</v>
      </c>
      <c r="N151" s="167">
        <v>10</v>
      </c>
      <c r="O151" s="156">
        <v>2.0680000000000001</v>
      </c>
      <c r="P151" s="154">
        <v>10</v>
      </c>
      <c r="Q151" s="156"/>
      <c r="R151" s="156"/>
      <c r="S151" s="148">
        <v>0.28999999999999998</v>
      </c>
      <c r="T151" s="153">
        <f>10^S151</f>
        <v>1.9498445997580454</v>
      </c>
      <c r="U151" s="148">
        <v>1.5</v>
      </c>
      <c r="V151" s="520">
        <f>10^U151</f>
        <v>31.622776601683803</v>
      </c>
      <c r="X151" s="512"/>
      <c r="Y151" s="156"/>
      <c r="Z151" s="156"/>
      <c r="AA151" s="156"/>
      <c r="AB151" s="156"/>
      <c r="AC151" s="501"/>
      <c r="AD151" s="690"/>
      <c r="AE151" s="512">
        <v>0.6</v>
      </c>
      <c r="AF151" s="156">
        <v>5</v>
      </c>
      <c r="AG151" s="156"/>
      <c r="AH151" s="156"/>
      <c r="AI151" s="690"/>
      <c r="AJ151" s="153"/>
      <c r="AK151" s="153"/>
      <c r="AL151" s="153"/>
      <c r="AM151" s="153"/>
      <c r="AN151" s="153"/>
      <c r="AO151" s="153"/>
      <c r="AP151" s="153"/>
      <c r="AQ151" s="153"/>
      <c r="AR151" s="153"/>
      <c r="AS151" s="810"/>
      <c r="AT151" s="173"/>
      <c r="AU151" s="153"/>
      <c r="AV151" s="156"/>
      <c r="AW151" s="153"/>
      <c r="AX151" s="156"/>
      <c r="AY151" s="153"/>
      <c r="AZ151" s="153"/>
      <c r="BA151" s="156"/>
      <c r="BB151" s="684"/>
      <c r="BC151" s="157"/>
      <c r="BD151" s="521"/>
      <c r="BE151" s="521"/>
      <c r="BF151" s="521"/>
      <c r="BG151" s="521"/>
      <c r="BH151" s="521"/>
      <c r="BI151" s="521"/>
      <c r="BJ151" s="795"/>
      <c r="BK151" s="523"/>
      <c r="BL151" s="521"/>
      <c r="BN151" s="343"/>
      <c r="BO151" s="343"/>
      <c r="BP151" s="343"/>
    </row>
    <row r="152" spans="1:68" ht="89.25">
      <c r="A152" s="149"/>
      <c r="B152" s="158"/>
      <c r="C152" s="172"/>
      <c r="D152" s="148"/>
      <c r="E152" s="766"/>
      <c r="F152" s="159"/>
      <c r="G152" s="159"/>
      <c r="H152" s="159"/>
      <c r="I152" s="170" t="s">
        <v>870</v>
      </c>
      <c r="J152" s="159" t="s">
        <v>801</v>
      </c>
      <c r="K152" s="158" t="s">
        <v>866</v>
      </c>
      <c r="L152" s="160"/>
      <c r="M152" s="160" t="s">
        <v>867</v>
      </c>
      <c r="N152" s="160"/>
      <c r="O152" s="155" t="s">
        <v>654</v>
      </c>
      <c r="P152" s="160"/>
      <c r="Q152" s="158"/>
      <c r="R152" s="158"/>
      <c r="S152" s="158" t="s">
        <v>868</v>
      </c>
      <c r="T152" s="153"/>
      <c r="U152" s="158" t="s">
        <v>869</v>
      </c>
      <c r="V152" s="520"/>
      <c r="W152" s="794"/>
      <c r="X152" s="185"/>
      <c r="Y152" s="161"/>
      <c r="Z152" s="161"/>
      <c r="AA152" s="161"/>
      <c r="AB152" s="161"/>
      <c r="AC152" s="497"/>
      <c r="AD152" s="678"/>
      <c r="AE152" s="185" t="s">
        <v>871</v>
      </c>
      <c r="AF152" s="163" t="s">
        <v>871</v>
      </c>
      <c r="AG152" s="158"/>
      <c r="AH152" s="158"/>
      <c r="AI152" s="695"/>
      <c r="AJ152" s="161"/>
      <c r="AK152" s="161"/>
      <c r="AL152" s="161"/>
      <c r="AM152" s="161"/>
      <c r="AN152" s="161"/>
      <c r="AO152" s="161"/>
      <c r="AP152" s="161"/>
      <c r="AQ152" s="161"/>
      <c r="AR152" s="161"/>
      <c r="AS152" s="678"/>
      <c r="AT152" s="185"/>
      <c r="AU152" s="162"/>
      <c r="AV152" s="163"/>
      <c r="AW152" s="164"/>
      <c r="AX152" s="163"/>
      <c r="AY152" s="162"/>
      <c r="AZ152" s="164"/>
      <c r="BA152" s="163"/>
      <c r="BB152" s="695"/>
      <c r="BC152" s="165"/>
      <c r="BD152" s="522"/>
      <c r="BE152" s="522"/>
      <c r="BF152" s="522"/>
      <c r="BG152" s="522"/>
      <c r="BH152" s="522"/>
      <c r="BI152" s="522"/>
      <c r="BJ152" s="806"/>
      <c r="BK152" s="524"/>
      <c r="BL152" s="522"/>
      <c r="BN152" s="343"/>
      <c r="BO152" s="343"/>
      <c r="BP152" s="343"/>
    </row>
    <row r="153" spans="1:68">
      <c r="A153" s="149">
        <v>79</v>
      </c>
      <c r="B153" s="156" t="s">
        <v>60</v>
      </c>
      <c r="C153" s="172" t="s">
        <v>872</v>
      </c>
      <c r="D153" s="148"/>
      <c r="E153" s="766"/>
      <c r="F153" s="173" t="s">
        <v>1996</v>
      </c>
      <c r="G153" s="173" t="s">
        <v>541</v>
      </c>
      <c r="H153" s="173" t="s">
        <v>541</v>
      </c>
      <c r="I153" s="150" t="s">
        <v>541</v>
      </c>
      <c r="J153" s="173">
        <v>58.079000000000001</v>
      </c>
      <c r="K153" s="156">
        <v>1000000</v>
      </c>
      <c r="L153" s="154" t="s">
        <v>541</v>
      </c>
      <c r="M153" s="174">
        <v>9627.2000000000007</v>
      </c>
      <c r="N153" s="167">
        <v>10</v>
      </c>
      <c r="O153" s="156">
        <v>1.421</v>
      </c>
      <c r="P153" s="154">
        <v>10</v>
      </c>
      <c r="Q153" s="156"/>
      <c r="R153" s="156"/>
      <c r="S153" s="153">
        <v>-0.24</v>
      </c>
      <c r="T153" s="153">
        <f>10^S153</f>
        <v>0.57543993733715693</v>
      </c>
      <c r="U153" s="153">
        <v>-0.63</v>
      </c>
      <c r="V153" s="520">
        <f>10^U153</f>
        <v>0.23442288153199217</v>
      </c>
      <c r="X153" s="512"/>
      <c r="Y153" s="156"/>
      <c r="Z153" s="156"/>
      <c r="AA153" s="156"/>
      <c r="AB153" s="156"/>
      <c r="AC153" s="501"/>
      <c r="AD153" s="690"/>
      <c r="AE153" s="512">
        <v>0.9</v>
      </c>
      <c r="AF153" s="156">
        <f>13*2.411</f>
        <v>31.343</v>
      </c>
      <c r="AG153" s="156"/>
      <c r="AH153" s="156"/>
      <c r="AI153" s="690"/>
      <c r="AJ153" s="148"/>
      <c r="AK153" s="148"/>
      <c r="AL153" s="148"/>
      <c r="AM153" s="148"/>
      <c r="AN153" s="148"/>
      <c r="AO153" s="148"/>
      <c r="AP153" s="148"/>
      <c r="AQ153" s="148"/>
      <c r="AR153" s="148"/>
      <c r="AS153" s="787"/>
      <c r="AT153" s="176"/>
      <c r="AU153" s="153"/>
      <c r="AV153" s="148"/>
      <c r="AW153" s="153"/>
      <c r="AX153" s="148"/>
      <c r="AY153" s="153"/>
      <c r="AZ153" s="148"/>
      <c r="BA153" s="156"/>
      <c r="BB153" s="684"/>
      <c r="BC153" s="157"/>
      <c r="BD153" s="521"/>
      <c r="BE153" s="521"/>
      <c r="BF153" s="521"/>
      <c r="BG153" s="521"/>
      <c r="BH153" s="521"/>
      <c r="BI153" s="521"/>
      <c r="BJ153" s="795"/>
      <c r="BK153" s="523"/>
      <c r="BL153" s="521"/>
      <c r="BN153" s="343"/>
      <c r="BO153" s="343"/>
      <c r="BP153" s="343"/>
    </row>
    <row r="154" spans="1:68" ht="89.25">
      <c r="A154" s="149"/>
      <c r="B154" s="158"/>
      <c r="C154" s="172"/>
      <c r="D154" s="148"/>
      <c r="E154" s="766"/>
      <c r="F154" s="159"/>
      <c r="G154" s="159"/>
      <c r="H154" s="159"/>
      <c r="I154" s="170" t="s">
        <v>874</v>
      </c>
      <c r="J154" s="159" t="s">
        <v>801</v>
      </c>
      <c r="K154" s="158" t="s">
        <v>873</v>
      </c>
      <c r="L154" s="160"/>
      <c r="M154" s="160" t="s">
        <v>867</v>
      </c>
      <c r="N154" s="160"/>
      <c r="O154" s="155" t="s">
        <v>654</v>
      </c>
      <c r="P154" s="160"/>
      <c r="Q154" s="158"/>
      <c r="R154" s="158"/>
      <c r="S154" s="158" t="s">
        <v>868</v>
      </c>
      <c r="T154" s="153"/>
      <c r="U154" s="160" t="s">
        <v>832</v>
      </c>
      <c r="V154" s="520"/>
      <c r="W154" s="794"/>
      <c r="X154" s="185"/>
      <c r="Y154" s="161"/>
      <c r="Z154" s="161"/>
      <c r="AA154" s="161"/>
      <c r="AB154" s="161"/>
      <c r="AC154" s="497"/>
      <c r="AD154" s="678"/>
      <c r="AE154" s="185" t="s">
        <v>875</v>
      </c>
      <c r="AF154" s="163" t="s">
        <v>876</v>
      </c>
      <c r="AG154" s="158"/>
      <c r="AH154" s="158"/>
      <c r="AI154" s="695"/>
      <c r="AJ154" s="163"/>
      <c r="AK154" s="163"/>
      <c r="AL154" s="163"/>
      <c r="AM154" s="163"/>
      <c r="AN154" s="163"/>
      <c r="AO154" s="163"/>
      <c r="AP154" s="163"/>
      <c r="AQ154" s="163"/>
      <c r="AR154" s="163"/>
      <c r="AS154" s="788"/>
      <c r="AT154" s="175"/>
      <c r="AU154" s="162"/>
      <c r="AV154" s="163"/>
      <c r="AW154" s="164"/>
      <c r="AX154" s="163"/>
      <c r="AY154" s="162"/>
      <c r="AZ154" s="163"/>
      <c r="BA154" s="163"/>
      <c r="BB154" s="695"/>
      <c r="BC154" s="165"/>
      <c r="BD154" s="522"/>
      <c r="BE154" s="522"/>
      <c r="BF154" s="522"/>
      <c r="BG154" s="522"/>
      <c r="BH154" s="522"/>
      <c r="BI154" s="522"/>
      <c r="BJ154" s="806"/>
      <c r="BK154" s="524"/>
      <c r="BL154" s="522"/>
      <c r="BN154" s="343"/>
      <c r="BO154" s="343"/>
      <c r="BP154" s="343"/>
    </row>
    <row r="155" spans="1:68">
      <c r="A155" s="149">
        <v>80</v>
      </c>
      <c r="B155" s="156" t="s">
        <v>188</v>
      </c>
      <c r="C155" s="172" t="s">
        <v>877</v>
      </c>
      <c r="D155" s="148"/>
      <c r="E155" s="766"/>
      <c r="F155" s="173" t="s">
        <v>1996</v>
      </c>
      <c r="G155" s="173" t="s">
        <v>541</v>
      </c>
      <c r="H155" s="173" t="s">
        <v>541</v>
      </c>
      <c r="I155" s="150" t="s">
        <v>541</v>
      </c>
      <c r="J155" s="173">
        <v>222.11600000000001</v>
      </c>
      <c r="K155" s="156">
        <v>59.7</v>
      </c>
      <c r="L155" s="154">
        <v>25</v>
      </c>
      <c r="M155" s="174">
        <v>5.4659999999999998E-7</v>
      </c>
      <c r="N155" s="167" t="s">
        <v>541</v>
      </c>
      <c r="O155" s="156">
        <v>2.0265E-6</v>
      </c>
      <c r="P155" s="154">
        <v>25</v>
      </c>
      <c r="Q155" s="156"/>
      <c r="R155" s="156"/>
      <c r="S155" s="153">
        <v>0.87</v>
      </c>
      <c r="T155" s="153">
        <f>10^S155</f>
        <v>7.4131024130091765</v>
      </c>
      <c r="U155" s="153">
        <v>0.48</v>
      </c>
      <c r="V155" s="520">
        <f>10^U155</f>
        <v>3.0199517204020165</v>
      </c>
      <c r="X155" s="512"/>
      <c r="Y155" s="156"/>
      <c r="Z155" s="156"/>
      <c r="AA155" s="156"/>
      <c r="AB155" s="156"/>
      <c r="AC155" s="501"/>
      <c r="AD155" s="690"/>
      <c r="AE155" s="512">
        <v>3.0000000000000001E-3</v>
      </c>
      <c r="AF155" s="156"/>
      <c r="AG155" s="156">
        <f>0.00001/0.11</f>
        <v>9.0909090909090917E-5</v>
      </c>
      <c r="AH155" s="156"/>
      <c r="AI155" s="690"/>
      <c r="AJ155" s="148"/>
      <c r="AK155" s="148"/>
      <c r="AL155" s="148"/>
      <c r="AM155" s="148"/>
      <c r="AN155" s="148"/>
      <c r="AO155" s="148"/>
      <c r="AP155" s="148"/>
      <c r="AQ155" s="148"/>
      <c r="AR155" s="148"/>
      <c r="AS155" s="787"/>
      <c r="AT155" s="176"/>
      <c r="AU155" s="153"/>
      <c r="AV155" s="148"/>
      <c r="AW155" s="153"/>
      <c r="AX155" s="148"/>
      <c r="AY155" s="153"/>
      <c r="AZ155" s="148"/>
      <c r="BA155" s="156"/>
      <c r="BB155" s="684"/>
      <c r="BC155" s="157"/>
      <c r="BD155" s="521"/>
      <c r="BE155" s="521"/>
      <c r="BF155" s="521"/>
      <c r="BG155" s="521"/>
      <c r="BH155" s="521"/>
      <c r="BI155" s="521"/>
      <c r="BJ155" s="795"/>
      <c r="BK155" s="523"/>
      <c r="BL155" s="521"/>
      <c r="BN155" s="343"/>
      <c r="BO155" s="343"/>
      <c r="BP155" s="343"/>
    </row>
    <row r="156" spans="1:68" ht="51">
      <c r="A156" s="149"/>
      <c r="B156" s="158"/>
      <c r="C156" s="172"/>
      <c r="D156" s="148"/>
      <c r="E156" s="766"/>
      <c r="F156" s="159"/>
      <c r="G156" s="159"/>
      <c r="H156" s="159"/>
      <c r="I156" s="170" t="s">
        <v>541</v>
      </c>
      <c r="J156" s="159" t="s">
        <v>836</v>
      </c>
      <c r="K156" s="158" t="s">
        <v>879</v>
      </c>
      <c r="L156" s="160"/>
      <c r="M156" s="160" t="s">
        <v>880</v>
      </c>
      <c r="N156" s="160"/>
      <c r="O156" s="155" t="s">
        <v>798</v>
      </c>
      <c r="P156" s="160"/>
      <c r="Q156" s="158"/>
      <c r="R156" s="158"/>
      <c r="S156" s="158" t="s">
        <v>878</v>
      </c>
      <c r="T156" s="153"/>
      <c r="U156" s="160" t="s">
        <v>832</v>
      </c>
      <c r="V156" s="520"/>
      <c r="W156" s="794"/>
      <c r="X156" s="185"/>
      <c r="Y156" s="161"/>
      <c r="Z156" s="161"/>
      <c r="AA156" s="161"/>
      <c r="AB156" s="161"/>
      <c r="AC156" s="497"/>
      <c r="AD156" s="678"/>
      <c r="AE156" s="185" t="s">
        <v>881</v>
      </c>
      <c r="AF156" s="163"/>
      <c r="AG156" s="158" t="s">
        <v>882</v>
      </c>
      <c r="AH156" s="158"/>
      <c r="AI156" s="695"/>
      <c r="AJ156" s="163"/>
      <c r="AK156" s="163"/>
      <c r="AL156" s="163"/>
      <c r="AM156" s="163"/>
      <c r="AN156" s="163"/>
      <c r="AO156" s="163"/>
      <c r="AP156" s="163"/>
      <c r="AQ156" s="163"/>
      <c r="AR156" s="163"/>
      <c r="AS156" s="788"/>
      <c r="AT156" s="175"/>
      <c r="AU156" s="162"/>
      <c r="AV156" s="163"/>
      <c r="AW156" s="164"/>
      <c r="AX156" s="163"/>
      <c r="AY156" s="162"/>
      <c r="AZ156" s="163"/>
      <c r="BA156" s="163"/>
      <c r="BB156" s="695"/>
      <c r="BC156" s="165"/>
      <c r="BD156" s="522"/>
      <c r="BE156" s="522"/>
      <c r="BF156" s="522"/>
      <c r="BG156" s="522"/>
      <c r="BH156" s="522"/>
      <c r="BI156" s="522"/>
      <c r="BJ156" s="806"/>
      <c r="BK156" s="524"/>
      <c r="BL156" s="522"/>
      <c r="BN156" s="343"/>
      <c r="BO156" s="343"/>
      <c r="BP156" s="343"/>
    </row>
    <row r="157" spans="1:68">
      <c r="A157" s="149">
        <v>81</v>
      </c>
      <c r="B157" s="156" t="s">
        <v>190</v>
      </c>
      <c r="C157" s="172" t="s">
        <v>883</v>
      </c>
      <c r="D157" s="148"/>
      <c r="E157" s="766"/>
      <c r="F157" s="173" t="s">
        <v>1996</v>
      </c>
      <c r="G157" s="173" t="s">
        <v>541</v>
      </c>
      <c r="H157" s="173" t="s">
        <v>541</v>
      </c>
      <c r="I157" s="150" t="s">
        <v>541</v>
      </c>
      <c r="J157" s="173">
        <v>227.131</v>
      </c>
      <c r="K157" s="156">
        <v>67</v>
      </c>
      <c r="L157" s="154">
        <v>10</v>
      </c>
      <c r="M157" s="174">
        <v>3.0200000000000002E-4</v>
      </c>
      <c r="N157" s="167">
        <v>14</v>
      </c>
      <c r="O157" s="156">
        <v>2.1278249999999999E-3</v>
      </c>
      <c r="P157" s="154">
        <v>25</v>
      </c>
      <c r="Q157" s="156"/>
      <c r="R157" s="156"/>
      <c r="S157" s="153">
        <v>1.79</v>
      </c>
      <c r="T157" s="153">
        <f>10^S157</f>
        <v>61.659500186148257</v>
      </c>
      <c r="U157" s="153">
        <v>1.4</v>
      </c>
      <c r="V157" s="520">
        <f>10^U157</f>
        <v>25.118864315095799</v>
      </c>
      <c r="X157" s="512"/>
      <c r="Y157" s="156"/>
      <c r="Z157" s="156"/>
      <c r="AA157" s="156"/>
      <c r="AB157" s="156"/>
      <c r="AC157" s="501"/>
      <c r="AD157" s="690"/>
      <c r="AE157" s="512">
        <v>5.0000000000000001E-4</v>
      </c>
      <c r="AF157" s="156"/>
      <c r="AG157" s="156">
        <f>0.00001/0.03</f>
        <v>3.3333333333333338E-4</v>
      </c>
      <c r="AH157" s="156"/>
      <c r="AI157" s="690"/>
      <c r="AJ157" s="148"/>
      <c r="AK157" s="148"/>
      <c r="AL157" s="148"/>
      <c r="AM157" s="148"/>
      <c r="AN157" s="148"/>
      <c r="AO157" s="148"/>
      <c r="AP157" s="148"/>
      <c r="AQ157" s="148"/>
      <c r="AR157" s="148"/>
      <c r="AS157" s="787"/>
      <c r="AT157" s="176"/>
      <c r="AU157" s="153"/>
      <c r="AV157" s="148"/>
      <c r="AW157" s="153"/>
      <c r="AX157" s="148"/>
      <c r="AY157" s="153"/>
      <c r="AZ157" s="148"/>
      <c r="BA157" s="156"/>
      <c r="BB157" s="684"/>
      <c r="BC157" s="157"/>
      <c r="BD157" s="521"/>
      <c r="BE157" s="521"/>
      <c r="BF157" s="521"/>
      <c r="BG157" s="521"/>
      <c r="BH157" s="521"/>
      <c r="BI157" s="521"/>
      <c r="BJ157" s="795"/>
      <c r="BK157" s="523"/>
      <c r="BL157" s="521"/>
      <c r="BN157" s="343"/>
      <c r="BO157" s="343"/>
      <c r="BP157" s="343"/>
    </row>
    <row r="158" spans="1:68" ht="127.5">
      <c r="A158" s="149"/>
      <c r="B158" s="158"/>
      <c r="C158" s="172"/>
      <c r="D158" s="148"/>
      <c r="E158" s="766"/>
      <c r="F158" s="159"/>
      <c r="G158" s="159"/>
      <c r="H158" s="159"/>
      <c r="I158" s="170" t="s">
        <v>541</v>
      </c>
      <c r="J158" s="159" t="s">
        <v>801</v>
      </c>
      <c r="K158" s="158" t="s">
        <v>884</v>
      </c>
      <c r="L158" s="160"/>
      <c r="M158" s="160" t="s">
        <v>885</v>
      </c>
      <c r="N158" s="160"/>
      <c r="O158" s="155" t="s">
        <v>798</v>
      </c>
      <c r="P158" s="160"/>
      <c r="Q158" s="158"/>
      <c r="R158" s="158"/>
      <c r="S158" s="158" t="s">
        <v>886</v>
      </c>
      <c r="T158" s="153"/>
      <c r="U158" s="160" t="s">
        <v>832</v>
      </c>
      <c r="V158" s="520"/>
      <c r="W158" s="794"/>
      <c r="X158" s="185"/>
      <c r="Y158" s="161"/>
      <c r="Z158" s="161"/>
      <c r="AA158" s="161"/>
      <c r="AB158" s="161"/>
      <c r="AC158" s="497"/>
      <c r="AD158" s="678"/>
      <c r="AE158" s="185" t="s">
        <v>887</v>
      </c>
      <c r="AF158" s="163"/>
      <c r="AG158" s="158" t="s">
        <v>888</v>
      </c>
      <c r="AH158" s="158"/>
      <c r="AI158" s="695"/>
      <c r="AJ158" s="163"/>
      <c r="AK158" s="163"/>
      <c r="AL158" s="163"/>
      <c r="AM158" s="163"/>
      <c r="AN158" s="163"/>
      <c r="AO158" s="163"/>
      <c r="AP158" s="163"/>
      <c r="AQ158" s="163"/>
      <c r="AR158" s="163"/>
      <c r="AS158" s="788"/>
      <c r="AT158" s="175"/>
      <c r="AU158" s="162"/>
      <c r="AV158" s="163"/>
      <c r="AW158" s="164"/>
      <c r="AX158" s="163"/>
      <c r="AY158" s="162"/>
      <c r="AZ158" s="163"/>
      <c r="BA158" s="163"/>
      <c r="BB158" s="695"/>
      <c r="BC158" s="165"/>
      <c r="BD158" s="522"/>
      <c r="BE158" s="522"/>
      <c r="BF158" s="522"/>
      <c r="BG158" s="522"/>
      <c r="BH158" s="522"/>
      <c r="BI158" s="522"/>
      <c r="BJ158" s="806"/>
      <c r="BK158" s="524"/>
      <c r="BL158" s="522"/>
      <c r="BN158" s="343"/>
      <c r="BO158" s="343"/>
      <c r="BP158" s="343"/>
    </row>
    <row r="159" spans="1:68">
      <c r="A159" s="149">
        <v>82</v>
      </c>
      <c r="B159" s="156" t="s">
        <v>191</v>
      </c>
      <c r="C159" s="172" t="s">
        <v>889</v>
      </c>
      <c r="D159" s="148"/>
      <c r="E159" s="766"/>
      <c r="F159" s="173" t="s">
        <v>1996</v>
      </c>
      <c r="G159" s="173" t="s">
        <v>541</v>
      </c>
      <c r="H159" s="173" t="s">
        <v>541</v>
      </c>
      <c r="I159" s="150" t="s">
        <v>541</v>
      </c>
      <c r="J159" s="173">
        <v>296.15600000000001</v>
      </c>
      <c r="K159" s="156">
        <v>6.63</v>
      </c>
      <c r="L159" s="154">
        <v>20</v>
      </c>
      <c r="M159" s="174">
        <v>3.2100000000000002E-6</v>
      </c>
      <c r="N159" s="167" t="s">
        <v>541</v>
      </c>
      <c r="O159" s="156">
        <v>8.7848774999999996E-5</v>
      </c>
      <c r="P159" s="154">
        <v>25</v>
      </c>
      <c r="Q159" s="156"/>
      <c r="R159" s="156"/>
      <c r="S159" s="153">
        <v>0.16</v>
      </c>
      <c r="T159" s="153">
        <f>10^S159</f>
        <v>1.4454397707459274</v>
      </c>
      <c r="U159" s="153">
        <v>-0.23</v>
      </c>
      <c r="V159" s="520">
        <f>10^U159</f>
        <v>0.58884365535558891</v>
      </c>
      <c r="X159" s="512"/>
      <c r="Y159" s="156"/>
      <c r="Z159" s="156"/>
      <c r="AA159" s="156"/>
      <c r="AB159" s="156"/>
      <c r="AC159" s="501"/>
      <c r="AD159" s="690"/>
      <c r="AE159" s="512">
        <v>0.05</v>
      </c>
      <c r="AF159" s="156"/>
      <c r="AG159" s="156"/>
      <c r="AH159" s="156"/>
      <c r="AI159" s="690"/>
      <c r="AJ159" s="148"/>
      <c r="AK159" s="148"/>
      <c r="AL159" s="148"/>
      <c r="AM159" s="148"/>
      <c r="AN159" s="148"/>
      <c r="AO159" s="148"/>
      <c r="AP159" s="148"/>
      <c r="AQ159" s="148"/>
      <c r="AR159" s="148"/>
      <c r="AS159" s="787"/>
      <c r="AT159" s="176"/>
      <c r="AU159" s="153"/>
      <c r="AV159" s="148"/>
      <c r="AW159" s="153"/>
      <c r="AX159" s="148"/>
      <c r="AY159" s="153"/>
      <c r="AZ159" s="148"/>
      <c r="BA159" s="156"/>
      <c r="BB159" s="684"/>
      <c r="BC159" s="157"/>
      <c r="BD159" s="521"/>
      <c r="BE159" s="521"/>
      <c r="BF159" s="521"/>
      <c r="BG159" s="521"/>
      <c r="BH159" s="521"/>
      <c r="BI159" s="521"/>
      <c r="BJ159" s="795"/>
      <c r="BK159" s="523"/>
      <c r="BL159" s="521"/>
      <c r="BN159" s="343"/>
      <c r="BO159" s="343"/>
      <c r="BP159" s="343"/>
    </row>
    <row r="160" spans="1:68" ht="63.75">
      <c r="A160" s="149"/>
      <c r="B160" s="158"/>
      <c r="C160" s="172"/>
      <c r="D160" s="148"/>
      <c r="E160" s="766"/>
      <c r="F160" s="159"/>
      <c r="G160" s="159"/>
      <c r="H160" s="159"/>
      <c r="I160" s="170" t="s">
        <v>541</v>
      </c>
      <c r="J160" s="159" t="s">
        <v>801</v>
      </c>
      <c r="K160" s="158" t="s">
        <v>890</v>
      </c>
      <c r="L160" s="160"/>
      <c r="M160" s="160" t="s">
        <v>891</v>
      </c>
      <c r="N160" s="160"/>
      <c r="O160" s="155" t="s">
        <v>798</v>
      </c>
      <c r="P160" s="160"/>
      <c r="Q160" s="158"/>
      <c r="R160" s="158"/>
      <c r="S160" s="158" t="s">
        <v>836</v>
      </c>
      <c r="T160" s="153"/>
      <c r="U160" s="160" t="s">
        <v>832</v>
      </c>
      <c r="V160" s="520"/>
      <c r="W160" s="794"/>
      <c r="X160" s="185"/>
      <c r="Y160" s="161"/>
      <c r="Z160" s="161"/>
      <c r="AA160" s="161"/>
      <c r="AB160" s="161"/>
      <c r="AC160" s="497"/>
      <c r="AD160" s="678"/>
      <c r="AE160" s="185" t="s">
        <v>892</v>
      </c>
      <c r="AF160" s="163"/>
      <c r="AG160" s="158"/>
      <c r="AH160" s="158"/>
      <c r="AI160" s="695"/>
      <c r="AJ160" s="163"/>
      <c r="AK160" s="163"/>
      <c r="AL160" s="163"/>
      <c r="AM160" s="163"/>
      <c r="AN160" s="163"/>
      <c r="AO160" s="163"/>
      <c r="AP160" s="163"/>
      <c r="AQ160" s="163"/>
      <c r="AR160" s="163"/>
      <c r="AS160" s="788"/>
      <c r="AT160" s="175"/>
      <c r="AU160" s="162"/>
      <c r="AV160" s="163"/>
      <c r="AW160" s="164"/>
      <c r="AX160" s="163"/>
      <c r="AY160" s="162"/>
      <c r="AZ160" s="163"/>
      <c r="BA160" s="163"/>
      <c r="BB160" s="695"/>
      <c r="BC160" s="165"/>
      <c r="BD160" s="522"/>
      <c r="BE160" s="522"/>
      <c r="BF160" s="522"/>
      <c r="BG160" s="522"/>
      <c r="BH160" s="522"/>
      <c r="BI160" s="522"/>
      <c r="BJ160" s="806"/>
      <c r="BK160" s="524"/>
      <c r="BL160" s="522"/>
      <c r="BN160" s="343"/>
      <c r="BO160" s="343"/>
      <c r="BP160" s="343"/>
    </row>
    <row r="161" spans="1:68">
      <c r="A161" s="149">
        <v>83</v>
      </c>
      <c r="B161" s="156" t="s">
        <v>356</v>
      </c>
      <c r="C161" s="172" t="s">
        <v>893</v>
      </c>
      <c r="D161" s="148"/>
      <c r="E161" s="766"/>
      <c r="F161" s="173" t="s">
        <v>1996</v>
      </c>
      <c r="G161" s="173" t="s">
        <v>1996</v>
      </c>
      <c r="H161" s="173" t="s">
        <v>1416</v>
      </c>
      <c r="I161" s="150">
        <v>0.79</v>
      </c>
      <c r="J161" s="173">
        <v>169.22200000000001</v>
      </c>
      <c r="K161" s="156">
        <v>55</v>
      </c>
      <c r="L161" s="154">
        <v>20</v>
      </c>
      <c r="M161" s="174">
        <v>8.8999999999999996E-2</v>
      </c>
      <c r="N161" s="167" t="s">
        <v>541</v>
      </c>
      <c r="O161" s="156">
        <v>3.5000000000000003E-2</v>
      </c>
      <c r="P161" s="154">
        <v>25</v>
      </c>
      <c r="Q161" s="156"/>
      <c r="R161" s="156"/>
      <c r="S161" s="153">
        <v>3.44</v>
      </c>
      <c r="T161" s="153">
        <f>10^S161</f>
        <v>2754.228703338169</v>
      </c>
      <c r="U161" s="153">
        <v>2.93</v>
      </c>
      <c r="V161" s="520">
        <f>10^U161</f>
        <v>851.13803820237763</v>
      </c>
      <c r="X161" s="512"/>
      <c r="Y161" s="156"/>
      <c r="Z161" s="156"/>
      <c r="AA161" s="156"/>
      <c r="AB161" s="156"/>
      <c r="AC161" s="501"/>
      <c r="AD161" s="690"/>
      <c r="AE161" s="512">
        <v>2.5000000000000001E-2</v>
      </c>
      <c r="AF161" s="156"/>
      <c r="AG161" s="156"/>
      <c r="AH161" s="156"/>
      <c r="AI161" s="690"/>
      <c r="AJ161" s="148"/>
      <c r="AK161" s="148"/>
      <c r="AL161" s="148"/>
      <c r="AM161" s="148"/>
      <c r="AN161" s="148"/>
      <c r="AO161" s="148"/>
      <c r="AP161" s="148"/>
      <c r="AQ161" s="148"/>
      <c r="AR161" s="148"/>
      <c r="AS161" s="787"/>
      <c r="AT161" s="176"/>
      <c r="AU161" s="153"/>
      <c r="AV161" s="148"/>
      <c r="AW161" s="153"/>
      <c r="AX161" s="148"/>
      <c r="AY161" s="153"/>
      <c r="AZ161" s="148"/>
      <c r="BA161" s="156"/>
      <c r="BB161" s="684"/>
      <c r="BC161" s="157"/>
      <c r="BD161" s="521"/>
      <c r="BE161" s="521"/>
      <c r="BF161" s="521"/>
      <c r="BG161" s="521"/>
      <c r="BH161" s="521"/>
      <c r="BI161" s="521"/>
      <c r="BJ161" s="795"/>
      <c r="BK161" s="523"/>
      <c r="BL161" s="521"/>
      <c r="BN161" s="343"/>
      <c r="BO161" s="343"/>
      <c r="BP161" s="343"/>
    </row>
    <row r="162" spans="1:68" ht="127.5">
      <c r="A162" s="149"/>
      <c r="B162" s="158"/>
      <c r="C162" s="172"/>
      <c r="D162" s="148"/>
      <c r="E162" s="766"/>
      <c r="F162" s="159"/>
      <c r="G162" s="159"/>
      <c r="H162" s="159"/>
      <c r="I162" s="170" t="s">
        <v>897</v>
      </c>
      <c r="J162" s="159" t="s">
        <v>801</v>
      </c>
      <c r="K162" s="158" t="s">
        <v>894</v>
      </c>
      <c r="L162" s="160"/>
      <c r="M162" s="160" t="s">
        <v>895</v>
      </c>
      <c r="N162" s="160"/>
      <c r="O162" s="155" t="s">
        <v>654</v>
      </c>
      <c r="P162" s="160"/>
      <c r="Q162" s="158"/>
      <c r="R162" s="158"/>
      <c r="S162" s="158" t="s">
        <v>801</v>
      </c>
      <c r="T162" s="153"/>
      <c r="U162" s="158" t="s">
        <v>896</v>
      </c>
      <c r="V162" s="520"/>
      <c r="W162" s="794"/>
      <c r="X162" s="185"/>
      <c r="Y162" s="161"/>
      <c r="Z162" s="161"/>
      <c r="AA162" s="161"/>
      <c r="AB162" s="161"/>
      <c r="AC162" s="497"/>
      <c r="AD162" s="678"/>
      <c r="AE162" s="185" t="s">
        <v>864</v>
      </c>
      <c r="AF162" s="163"/>
      <c r="AG162" s="158"/>
      <c r="AH162" s="158"/>
      <c r="AI162" s="695"/>
      <c r="AJ162" s="163"/>
      <c r="AK162" s="163"/>
      <c r="AL162" s="163"/>
      <c r="AM162" s="163"/>
      <c r="AN162" s="163"/>
      <c r="AO162" s="163"/>
      <c r="AP162" s="163"/>
      <c r="AQ162" s="163"/>
      <c r="AR162" s="163"/>
      <c r="AS162" s="788"/>
      <c r="AT162" s="175"/>
      <c r="AU162" s="162"/>
      <c r="AV162" s="163"/>
      <c r="AW162" s="164"/>
      <c r="AX162" s="163"/>
      <c r="AY162" s="162"/>
      <c r="AZ162" s="163"/>
      <c r="BA162" s="163"/>
      <c r="BB162" s="695"/>
      <c r="BC162" s="165"/>
      <c r="BD162" s="522"/>
      <c r="BE162" s="522"/>
      <c r="BF162" s="522"/>
      <c r="BG162" s="522"/>
      <c r="BH162" s="522"/>
      <c r="BI162" s="522"/>
      <c r="BJ162" s="806"/>
      <c r="BK162" s="524"/>
      <c r="BL162" s="522"/>
      <c r="BN162" s="343"/>
      <c r="BO162" s="343"/>
      <c r="BP162" s="343"/>
    </row>
    <row r="163" spans="1:68">
      <c r="A163" s="149">
        <v>84</v>
      </c>
      <c r="B163" s="156" t="s">
        <v>192</v>
      </c>
      <c r="C163" s="172" t="s">
        <v>898</v>
      </c>
      <c r="D163" s="148"/>
      <c r="E163" s="766"/>
      <c r="F163" s="173" t="s">
        <v>1996</v>
      </c>
      <c r="G163" s="173" t="s">
        <v>541</v>
      </c>
      <c r="H163" s="173" t="s">
        <v>541</v>
      </c>
      <c r="I163" s="150" t="s">
        <v>541</v>
      </c>
      <c r="J163" s="173">
        <v>213.10400000000001</v>
      </c>
      <c r="K163" s="156">
        <v>280</v>
      </c>
      <c r="L163" s="154">
        <v>15</v>
      </c>
      <c r="M163" s="174">
        <v>4.2660000000000002E-4</v>
      </c>
      <c r="N163" s="167" t="s">
        <v>541</v>
      </c>
      <c r="O163" s="156">
        <v>6.5759925000000001E-4</v>
      </c>
      <c r="P163" s="154">
        <v>25</v>
      </c>
      <c r="Q163" s="156"/>
      <c r="R163" s="156"/>
      <c r="S163" s="153">
        <v>1.18</v>
      </c>
      <c r="T163" s="153">
        <f>10^S163</f>
        <v>15.135612484362087</v>
      </c>
      <c r="U163" s="153">
        <v>0.79</v>
      </c>
      <c r="V163" s="520">
        <f>10^U163</f>
        <v>6.1659500186148231</v>
      </c>
      <c r="X163" s="512"/>
      <c r="Y163" s="156"/>
      <c r="Z163" s="156"/>
      <c r="AA163" s="156"/>
      <c r="AB163" s="156"/>
      <c r="AC163" s="501"/>
      <c r="AD163" s="690"/>
      <c r="AE163" s="512">
        <v>0.03</v>
      </c>
      <c r="AF163" s="156"/>
      <c r="AG163" s="156"/>
      <c r="AH163" s="156"/>
      <c r="AI163" s="690"/>
      <c r="AJ163" s="148"/>
      <c r="AK163" s="148"/>
      <c r="AL163" s="148"/>
      <c r="AM163" s="148"/>
      <c r="AN163" s="148"/>
      <c r="AO163" s="148"/>
      <c r="AP163" s="148"/>
      <c r="AQ163" s="148"/>
      <c r="AR163" s="148"/>
      <c r="AS163" s="787"/>
      <c r="AT163" s="176"/>
      <c r="AU163" s="153"/>
      <c r="AV163" s="148"/>
      <c r="AW163" s="153"/>
      <c r="AX163" s="148"/>
      <c r="AY163" s="153"/>
      <c r="AZ163" s="148"/>
      <c r="BA163" s="156"/>
      <c r="BB163" s="684"/>
      <c r="BC163" s="157"/>
      <c r="BD163" s="521"/>
      <c r="BE163" s="521"/>
      <c r="BF163" s="521"/>
      <c r="BG163" s="521"/>
      <c r="BH163" s="521"/>
      <c r="BI163" s="521"/>
      <c r="BJ163" s="795"/>
      <c r="BK163" s="523"/>
      <c r="BL163" s="521"/>
      <c r="BN163" s="343"/>
      <c r="BO163" s="343"/>
      <c r="BP163" s="343"/>
    </row>
    <row r="164" spans="1:68" ht="90.75" customHeight="1">
      <c r="A164" s="149"/>
      <c r="B164" s="158"/>
      <c r="C164" s="172"/>
      <c r="D164" s="148"/>
      <c r="E164" s="766"/>
      <c r="F164" s="159"/>
      <c r="G164" s="159"/>
      <c r="H164" s="159"/>
      <c r="I164" s="170" t="s">
        <v>541</v>
      </c>
      <c r="J164" s="159" t="s">
        <v>801</v>
      </c>
      <c r="K164" s="158" t="s">
        <v>899</v>
      </c>
      <c r="L164" s="160"/>
      <c r="M164" s="160" t="s">
        <v>900</v>
      </c>
      <c r="N164" s="160"/>
      <c r="O164" s="155" t="s">
        <v>798</v>
      </c>
      <c r="P164" s="160"/>
      <c r="Q164" s="158"/>
      <c r="R164" s="158"/>
      <c r="S164" s="158" t="s">
        <v>901</v>
      </c>
      <c r="T164" s="153"/>
      <c r="U164" s="160" t="s">
        <v>832</v>
      </c>
      <c r="V164" s="520"/>
      <c r="W164" s="794"/>
      <c r="X164" s="185"/>
      <c r="Y164" s="161"/>
      <c r="Z164" s="161"/>
      <c r="AA164" s="161"/>
      <c r="AB164" s="161"/>
      <c r="AC164" s="497"/>
      <c r="AD164" s="678"/>
      <c r="AE164" s="185" t="s">
        <v>902</v>
      </c>
      <c r="AF164" s="163"/>
      <c r="AG164" s="158"/>
      <c r="AH164" s="158"/>
      <c r="AI164" s="695"/>
      <c r="AJ164" s="163"/>
      <c r="AK164" s="163"/>
      <c r="AL164" s="163"/>
      <c r="AM164" s="163"/>
      <c r="AN164" s="163"/>
      <c r="AO164" s="163"/>
      <c r="AP164" s="163"/>
      <c r="AQ164" s="163"/>
      <c r="AR164" s="163"/>
      <c r="AS164" s="788"/>
      <c r="AT164" s="175"/>
      <c r="AU164" s="162"/>
      <c r="AV164" s="163"/>
      <c r="AW164" s="164"/>
      <c r="AX164" s="163"/>
      <c r="AY164" s="162"/>
      <c r="AZ164" s="163"/>
      <c r="BA164" s="163"/>
      <c r="BB164" s="695"/>
      <c r="BC164" s="165"/>
      <c r="BD164" s="522"/>
      <c r="BE164" s="522"/>
      <c r="BF164" s="522"/>
      <c r="BG164" s="522"/>
      <c r="BH164" s="522"/>
      <c r="BI164" s="522"/>
      <c r="BJ164" s="806"/>
      <c r="BK164" s="524"/>
      <c r="BL164" s="522"/>
      <c r="BN164" s="343"/>
      <c r="BO164" s="343"/>
      <c r="BP164" s="343"/>
    </row>
    <row r="165" spans="1:68">
      <c r="A165" s="149">
        <v>85</v>
      </c>
      <c r="B165" s="156" t="s">
        <v>61</v>
      </c>
      <c r="C165" s="172" t="s">
        <v>903</v>
      </c>
      <c r="D165" s="148"/>
      <c r="E165" s="766"/>
      <c r="F165" s="173" t="s">
        <v>1996</v>
      </c>
      <c r="G165" s="173" t="s">
        <v>541</v>
      </c>
      <c r="H165" s="173" t="s">
        <v>541</v>
      </c>
      <c r="I165" s="150" t="s">
        <v>541</v>
      </c>
      <c r="J165" s="173">
        <v>41.052</v>
      </c>
      <c r="K165" s="156">
        <v>1000000</v>
      </c>
      <c r="L165" s="154" t="s">
        <v>541</v>
      </c>
      <c r="M165" s="174">
        <v>5869</v>
      </c>
      <c r="N165" s="167" t="s">
        <v>541</v>
      </c>
      <c r="O165" s="156">
        <v>1.55</v>
      </c>
      <c r="P165" s="154">
        <v>20</v>
      </c>
      <c r="Q165" s="156"/>
      <c r="R165" s="156"/>
      <c r="S165" s="153">
        <v>-0.34</v>
      </c>
      <c r="T165" s="153">
        <f>10^S165</f>
        <v>0.45708818961487502</v>
      </c>
      <c r="U165" s="153">
        <v>-0.73</v>
      </c>
      <c r="V165" s="520">
        <f>10^U165</f>
        <v>0.18620871366628672</v>
      </c>
      <c r="X165" s="512"/>
      <c r="Y165" s="156"/>
      <c r="Z165" s="156"/>
      <c r="AA165" s="156"/>
      <c r="AB165" s="156"/>
      <c r="AC165" s="501"/>
      <c r="AD165" s="690"/>
      <c r="AE165" s="512"/>
      <c r="AF165" s="156">
        <v>0.06</v>
      </c>
      <c r="AG165" s="156"/>
      <c r="AH165" s="156"/>
      <c r="AI165" s="690"/>
      <c r="AJ165" s="148"/>
      <c r="AK165" s="148"/>
      <c r="AL165" s="148"/>
      <c r="AM165" s="148"/>
      <c r="AN165" s="148"/>
      <c r="AO165" s="148"/>
      <c r="AP165" s="148"/>
      <c r="AQ165" s="148"/>
      <c r="AR165" s="148"/>
      <c r="AS165" s="787"/>
      <c r="AT165" s="176"/>
      <c r="AU165" s="153"/>
      <c r="AV165" s="148"/>
      <c r="AW165" s="153"/>
      <c r="AX165" s="148"/>
      <c r="AY165" s="153"/>
      <c r="AZ165" s="148"/>
      <c r="BA165" s="156"/>
      <c r="BB165" s="684"/>
      <c r="BC165" s="157"/>
      <c r="BD165" s="521"/>
      <c r="BE165" s="521"/>
      <c r="BF165" s="521"/>
      <c r="BG165" s="521"/>
      <c r="BH165" s="521"/>
      <c r="BI165" s="521"/>
      <c r="BJ165" s="795"/>
      <c r="BK165" s="523"/>
      <c r="BL165" s="521"/>
      <c r="BN165" s="343"/>
      <c r="BO165" s="343"/>
      <c r="BP165" s="343"/>
    </row>
    <row r="166" spans="1:68" ht="127.5">
      <c r="A166" s="149"/>
      <c r="B166" s="158"/>
      <c r="C166" s="172"/>
      <c r="D166" s="148"/>
      <c r="E166" s="766"/>
      <c r="F166" s="159"/>
      <c r="G166" s="159"/>
      <c r="H166" s="159"/>
      <c r="I166" s="170" t="s">
        <v>907</v>
      </c>
      <c r="J166" s="159" t="s">
        <v>801</v>
      </c>
      <c r="K166" s="158" t="s">
        <v>904</v>
      </c>
      <c r="L166" s="160"/>
      <c r="M166" s="160" t="s">
        <v>905</v>
      </c>
      <c r="N166" s="160"/>
      <c r="O166" s="155" t="s">
        <v>654</v>
      </c>
      <c r="P166" s="160"/>
      <c r="Q166" s="158"/>
      <c r="R166" s="158"/>
      <c r="S166" s="158" t="s">
        <v>906</v>
      </c>
      <c r="T166" s="153"/>
      <c r="U166" s="160" t="s">
        <v>832</v>
      </c>
      <c r="V166" s="520"/>
      <c r="W166" s="794"/>
      <c r="X166" s="185"/>
      <c r="Y166" s="161"/>
      <c r="Z166" s="161"/>
      <c r="AA166" s="161"/>
      <c r="AB166" s="161"/>
      <c r="AC166" s="497"/>
      <c r="AD166" s="678"/>
      <c r="AE166" s="185"/>
      <c r="AF166" s="163" t="s">
        <v>908</v>
      </c>
      <c r="AG166" s="158"/>
      <c r="AH166" s="158"/>
      <c r="AI166" s="695"/>
      <c r="AJ166" s="163"/>
      <c r="AK166" s="163"/>
      <c r="AL166" s="163"/>
      <c r="AM166" s="163"/>
      <c r="AN166" s="163"/>
      <c r="AO166" s="163"/>
      <c r="AP166" s="163"/>
      <c r="AQ166" s="163"/>
      <c r="AR166" s="163"/>
      <c r="AS166" s="788"/>
      <c r="AT166" s="175"/>
      <c r="AU166" s="162"/>
      <c r="AV166" s="163"/>
      <c r="AW166" s="164"/>
      <c r="AX166" s="163"/>
      <c r="AY166" s="162"/>
      <c r="AZ166" s="163"/>
      <c r="BA166" s="163"/>
      <c r="BB166" s="695"/>
      <c r="BC166" s="165"/>
      <c r="BD166" s="522"/>
      <c r="BE166" s="522"/>
      <c r="BF166" s="522"/>
      <c r="BG166" s="522"/>
      <c r="BH166" s="522"/>
      <c r="BI166" s="522"/>
      <c r="BJ166" s="806"/>
      <c r="BK166" s="524"/>
      <c r="BL166" s="522"/>
      <c r="BN166" s="343"/>
      <c r="BO166" s="343"/>
      <c r="BP166" s="343"/>
    </row>
    <row r="167" spans="1:68">
      <c r="A167" s="191">
        <v>88</v>
      </c>
      <c r="B167" s="191" t="s">
        <v>359</v>
      </c>
      <c r="C167" s="486" t="s">
        <v>1355</v>
      </c>
      <c r="D167" s="191"/>
      <c r="E167" s="728"/>
      <c r="F167" s="191" t="s">
        <v>1996</v>
      </c>
      <c r="G167" s="173" t="s">
        <v>541</v>
      </c>
      <c r="H167" s="173" t="s">
        <v>541</v>
      </c>
      <c r="I167" s="191"/>
      <c r="J167" s="191"/>
      <c r="K167" s="191"/>
      <c r="L167" s="191"/>
      <c r="M167" s="191"/>
      <c r="N167" s="191"/>
      <c r="O167" s="192">
        <v>8.8199999999999997E-3</v>
      </c>
      <c r="P167" s="191">
        <v>25</v>
      </c>
      <c r="Q167" s="191"/>
      <c r="R167" s="191"/>
      <c r="S167" s="191"/>
      <c r="T167" s="191"/>
      <c r="U167" s="191"/>
      <c r="V167" s="486"/>
      <c r="X167" s="516"/>
      <c r="Y167" s="191"/>
      <c r="Z167" s="191"/>
      <c r="AA167" s="191"/>
      <c r="AB167" s="191"/>
      <c r="AC167" s="486"/>
      <c r="AE167" s="516"/>
      <c r="AF167" s="191"/>
      <c r="AG167" s="191"/>
      <c r="AH167" s="191"/>
      <c r="AJ167" s="193"/>
      <c r="AK167" s="193"/>
      <c r="AL167" s="193"/>
      <c r="AM167" s="193"/>
      <c r="AN167" s="193"/>
      <c r="AO167" s="193"/>
      <c r="AP167" s="193"/>
      <c r="AQ167" s="193"/>
      <c r="AR167" s="193"/>
      <c r="AT167" s="526"/>
      <c r="AU167" s="193"/>
      <c r="AV167" s="193"/>
      <c r="AW167" s="193"/>
      <c r="AX167" s="193"/>
      <c r="AY167" s="193"/>
      <c r="AZ167" s="193"/>
      <c r="BA167" s="193"/>
      <c r="BC167" s="191"/>
      <c r="BD167" s="486"/>
      <c r="BE167" s="486"/>
      <c r="BF167" s="486"/>
      <c r="BG167" s="486"/>
      <c r="BH167" s="486"/>
      <c r="BI167" s="486"/>
      <c r="BK167" s="516"/>
      <c r="BL167" s="486"/>
      <c r="BN167" s="343"/>
      <c r="BO167" s="343"/>
      <c r="BP167" s="343"/>
    </row>
    <row r="168" spans="1:68">
      <c r="A168" s="191"/>
      <c r="B168" s="191"/>
      <c r="C168" s="486"/>
      <c r="D168" s="191"/>
      <c r="E168" s="728"/>
      <c r="F168" s="191"/>
      <c r="G168" s="191"/>
      <c r="H168" s="191"/>
      <c r="I168" s="191"/>
      <c r="J168" s="191"/>
      <c r="K168" s="191"/>
      <c r="L168" s="191"/>
      <c r="M168" s="191"/>
      <c r="N168" s="191"/>
      <c r="O168" s="192" t="s">
        <v>1354</v>
      </c>
      <c r="P168" s="191"/>
      <c r="Q168" s="191"/>
      <c r="R168" s="191"/>
      <c r="S168" s="191"/>
      <c r="T168" s="191"/>
      <c r="U168" s="191"/>
      <c r="V168" s="486"/>
      <c r="X168" s="516"/>
      <c r="Y168" s="191"/>
      <c r="Z168" s="191"/>
      <c r="AA168" s="191"/>
      <c r="AB168" s="191"/>
      <c r="AC168" s="486"/>
      <c r="AE168" s="516"/>
      <c r="AF168" s="191"/>
      <c r="AG168" s="191"/>
      <c r="AH168" s="191"/>
      <c r="AJ168" s="193"/>
      <c r="AK168" s="193"/>
      <c r="AL168" s="193"/>
      <c r="AM168" s="193"/>
      <c r="AN168" s="193"/>
      <c r="AO168" s="193"/>
      <c r="AP168" s="193"/>
      <c r="AQ168" s="193"/>
      <c r="AR168" s="193"/>
      <c r="AT168" s="526"/>
      <c r="AU168" s="193"/>
      <c r="AV168" s="193"/>
      <c r="AW168" s="193"/>
      <c r="AX168" s="193"/>
      <c r="AY168" s="193"/>
      <c r="AZ168" s="193"/>
      <c r="BA168" s="193"/>
      <c r="BC168" s="191"/>
      <c r="BD168" s="486"/>
      <c r="BE168" s="486"/>
      <c r="BF168" s="486"/>
      <c r="BG168" s="486"/>
      <c r="BH168" s="486"/>
      <c r="BI168" s="486"/>
      <c r="BK168" s="516"/>
      <c r="BL168" s="486"/>
      <c r="BN168" s="343"/>
      <c r="BO168" s="343"/>
      <c r="BP168" s="343"/>
    </row>
    <row r="169" spans="1:68">
      <c r="A169" s="191">
        <v>89</v>
      </c>
      <c r="B169" s="191" t="s">
        <v>360</v>
      </c>
      <c r="C169" s="486" t="s">
        <v>1364</v>
      </c>
      <c r="D169" s="191"/>
      <c r="E169" s="728"/>
      <c r="F169" s="191" t="s">
        <v>1996</v>
      </c>
      <c r="G169" s="173" t="s">
        <v>541</v>
      </c>
      <c r="H169" s="173" t="s">
        <v>541</v>
      </c>
      <c r="I169" s="191"/>
      <c r="J169" s="191"/>
      <c r="K169" s="191"/>
      <c r="L169" s="191"/>
      <c r="M169" s="191"/>
      <c r="N169" s="191"/>
      <c r="O169" s="192">
        <v>1.34E-4</v>
      </c>
      <c r="P169" s="191">
        <v>25</v>
      </c>
      <c r="Q169" s="191"/>
      <c r="R169" s="191"/>
      <c r="S169" s="191"/>
      <c r="T169" s="191"/>
      <c r="U169" s="191">
        <v>1.99</v>
      </c>
      <c r="V169" s="520">
        <f>10^U169</f>
        <v>97.723722095581124</v>
      </c>
      <c r="X169" s="516"/>
      <c r="Y169" s="191"/>
      <c r="Z169" s="191"/>
      <c r="AA169" s="191"/>
      <c r="AB169" s="191"/>
      <c r="AC169" s="486"/>
      <c r="AE169" s="516"/>
      <c r="AF169" s="191"/>
      <c r="AG169" s="191"/>
      <c r="AH169" s="191"/>
      <c r="AJ169" s="193"/>
      <c r="AK169" s="193"/>
      <c r="AL169" s="193"/>
      <c r="AM169" s="193"/>
      <c r="AN169" s="193"/>
      <c r="AO169" s="193"/>
      <c r="AP169" s="193"/>
      <c r="AQ169" s="193"/>
      <c r="AR169" s="193"/>
      <c r="AT169" s="526"/>
      <c r="AU169" s="193"/>
      <c r="AV169" s="193"/>
      <c r="AW169" s="193"/>
      <c r="AX169" s="193"/>
      <c r="AY169" s="193"/>
      <c r="AZ169" s="193"/>
      <c r="BA169" s="193"/>
      <c r="BC169" s="191"/>
      <c r="BD169" s="486"/>
      <c r="BE169" s="486"/>
      <c r="BF169" s="486"/>
      <c r="BG169" s="486"/>
      <c r="BH169" s="486"/>
      <c r="BI169" s="486"/>
      <c r="BK169" s="516"/>
      <c r="BL169" s="486"/>
      <c r="BN169" s="343"/>
      <c r="BO169" s="343"/>
      <c r="BP169" s="343"/>
    </row>
    <row r="170" spans="1:68" ht="38.25">
      <c r="A170" s="191"/>
      <c r="B170" s="191"/>
      <c r="C170" s="486"/>
      <c r="D170" s="191"/>
      <c r="E170" s="728"/>
      <c r="F170" s="191"/>
      <c r="G170" s="191"/>
      <c r="H170" s="191"/>
      <c r="I170" s="191"/>
      <c r="J170" s="191"/>
      <c r="K170" s="191"/>
      <c r="L170" s="191"/>
      <c r="M170" s="191"/>
      <c r="N170" s="191"/>
      <c r="O170" s="192" t="s">
        <v>836</v>
      </c>
      <c r="P170" s="191"/>
      <c r="Q170" s="191"/>
      <c r="R170" s="191"/>
      <c r="S170" s="149"/>
      <c r="T170" s="191"/>
      <c r="U170" s="149" t="s">
        <v>1365</v>
      </c>
      <c r="V170" s="486"/>
      <c r="X170" s="516"/>
      <c r="Y170" s="191"/>
      <c r="Z170" s="191"/>
      <c r="AA170" s="191"/>
      <c r="AB170" s="191"/>
      <c r="AC170" s="486"/>
      <c r="AE170" s="516"/>
      <c r="AF170" s="191"/>
      <c r="AG170" s="191"/>
      <c r="AH170" s="191"/>
      <c r="AJ170" s="193"/>
      <c r="AK170" s="193"/>
      <c r="AL170" s="193"/>
      <c r="AM170" s="193"/>
      <c r="AN170" s="193"/>
      <c r="AO170" s="193"/>
      <c r="AP170" s="193"/>
      <c r="AQ170" s="193"/>
      <c r="AR170" s="193"/>
      <c r="AT170" s="526"/>
      <c r="AU170" s="193"/>
      <c r="AV170" s="193"/>
      <c r="AW170" s="193"/>
      <c r="AX170" s="193"/>
      <c r="AY170" s="193"/>
      <c r="AZ170" s="193"/>
      <c r="BA170" s="193"/>
      <c r="BC170" s="191"/>
      <c r="BD170" s="486"/>
      <c r="BE170" s="486"/>
      <c r="BF170" s="486"/>
      <c r="BG170" s="486"/>
      <c r="BH170" s="486"/>
      <c r="BI170" s="486"/>
      <c r="BK170" s="516"/>
      <c r="BL170" s="486"/>
      <c r="BN170" s="343"/>
      <c r="BO170" s="343"/>
      <c r="BP170" s="343"/>
    </row>
    <row r="171" spans="1:68">
      <c r="A171" s="149">
        <v>90</v>
      </c>
      <c r="B171" s="156" t="s">
        <v>47</v>
      </c>
      <c r="C171" s="151" t="s">
        <v>847</v>
      </c>
      <c r="D171" s="150"/>
      <c r="E171" s="767"/>
      <c r="F171" s="173" t="s">
        <v>1996</v>
      </c>
      <c r="G171" s="173" t="s">
        <v>541</v>
      </c>
      <c r="H171" s="173" t="s">
        <v>541</v>
      </c>
      <c r="I171" s="156" t="s">
        <v>541</v>
      </c>
      <c r="J171" s="173">
        <v>167.84899999999999</v>
      </c>
      <c r="K171" s="167">
        <v>2830</v>
      </c>
      <c r="L171" s="167">
        <v>10</v>
      </c>
      <c r="M171" s="174">
        <v>347.24</v>
      </c>
      <c r="N171" s="167">
        <v>10</v>
      </c>
      <c r="O171" s="156">
        <v>33.44</v>
      </c>
      <c r="P171" s="154">
        <v>10</v>
      </c>
      <c r="Q171" s="156"/>
      <c r="R171" s="156"/>
      <c r="S171" s="153">
        <v>2.39</v>
      </c>
      <c r="T171" s="153">
        <f>10^S171</f>
        <v>245.4708915685033</v>
      </c>
      <c r="U171" s="153">
        <v>2.06</v>
      </c>
      <c r="V171" s="520">
        <f>10^U171</f>
        <v>114.81536214968835</v>
      </c>
      <c r="W171" s="788"/>
      <c r="X171" s="512"/>
      <c r="Y171" s="156"/>
      <c r="Z171" s="156"/>
      <c r="AA171" s="156"/>
      <c r="AB171" s="156"/>
      <c r="AC171" s="501"/>
      <c r="AD171" s="690"/>
      <c r="AE171" s="512">
        <v>0.02</v>
      </c>
      <c r="AF171" s="156"/>
      <c r="AG171" s="156">
        <f>0.00001/0.2</f>
        <v>5.0000000000000002E-5</v>
      </c>
      <c r="AH171" s="156">
        <f>0.00001/0.058</f>
        <v>1.7241379310344829E-4</v>
      </c>
      <c r="AI171" s="690"/>
      <c r="AJ171" s="153"/>
      <c r="AK171" s="153"/>
      <c r="AL171" s="153"/>
      <c r="AM171" s="153"/>
      <c r="AN171" s="153"/>
      <c r="AO171" s="153"/>
      <c r="AP171" s="153"/>
      <c r="AQ171" s="153"/>
      <c r="AR171" s="153"/>
      <c r="AS171" s="810"/>
      <c r="AT171" s="173"/>
      <c r="AU171" s="153"/>
      <c r="AV171" s="156"/>
      <c r="AW171" s="153"/>
      <c r="AX171" s="156"/>
      <c r="AY171" s="153"/>
      <c r="AZ171" s="153"/>
      <c r="BA171" s="156"/>
      <c r="BB171" s="684"/>
      <c r="BC171" s="157"/>
      <c r="BD171" s="521"/>
      <c r="BE171" s="521"/>
      <c r="BF171" s="521"/>
      <c r="BG171" s="521"/>
      <c r="BH171" s="521"/>
      <c r="BI171" s="521"/>
      <c r="BJ171" s="795"/>
      <c r="BK171" s="523"/>
      <c r="BL171" s="521"/>
      <c r="BN171" s="343"/>
      <c r="BO171" s="343"/>
      <c r="BP171" s="343"/>
    </row>
    <row r="172" spans="1:68" ht="114.75">
      <c r="A172" s="149"/>
      <c r="B172" s="158"/>
      <c r="C172" s="151"/>
      <c r="D172" s="682"/>
      <c r="E172" s="767"/>
      <c r="F172" s="159"/>
      <c r="G172" s="159"/>
      <c r="H172" s="159"/>
      <c r="I172" s="170" t="s">
        <v>541</v>
      </c>
      <c r="J172" s="159" t="s">
        <v>801</v>
      </c>
      <c r="K172" s="158" t="s">
        <v>848</v>
      </c>
      <c r="L172" s="160"/>
      <c r="M172" s="160" t="s">
        <v>849</v>
      </c>
      <c r="N172" s="160"/>
      <c r="O172" s="155" t="s">
        <v>654</v>
      </c>
      <c r="P172" s="160"/>
      <c r="Q172" s="158"/>
      <c r="R172" s="158"/>
      <c r="S172" s="158" t="s">
        <v>850</v>
      </c>
      <c r="T172" s="153"/>
      <c r="U172" s="158" t="s">
        <v>851</v>
      </c>
      <c r="V172" s="520"/>
      <c r="W172" s="788"/>
      <c r="X172" s="159"/>
      <c r="Y172" s="158"/>
      <c r="Z172" s="158"/>
      <c r="AA172" s="158"/>
      <c r="AB172" s="158"/>
      <c r="AC172" s="502"/>
      <c r="AD172" s="695"/>
      <c r="AE172" s="159" t="s">
        <v>852</v>
      </c>
      <c r="AF172" s="163"/>
      <c r="AG172" s="161" t="s">
        <v>853</v>
      </c>
      <c r="AH172" s="158" t="s">
        <v>854</v>
      </c>
      <c r="AI172" s="695"/>
      <c r="AJ172" s="161"/>
      <c r="AK172" s="161"/>
      <c r="AL172" s="161"/>
      <c r="AM172" s="161"/>
      <c r="AN172" s="161"/>
      <c r="AO172" s="161"/>
      <c r="AP172" s="161"/>
      <c r="AQ172" s="161"/>
      <c r="AR172" s="161"/>
      <c r="AS172" s="678"/>
      <c r="AT172" s="185"/>
      <c r="AU172" s="162" t="s">
        <v>541</v>
      </c>
      <c r="AV172" s="163"/>
      <c r="AW172" s="164" t="s">
        <v>541</v>
      </c>
      <c r="AX172" s="163"/>
      <c r="AY172" s="162" t="s">
        <v>541</v>
      </c>
      <c r="AZ172" s="164" t="s">
        <v>541</v>
      </c>
      <c r="BA172" s="163"/>
      <c r="BB172" s="695"/>
      <c r="BC172" s="165"/>
      <c r="BD172" s="522"/>
      <c r="BE172" s="522"/>
      <c r="BF172" s="522"/>
      <c r="BG172" s="522"/>
      <c r="BH172" s="522"/>
      <c r="BI172" s="522"/>
      <c r="BJ172" s="806"/>
      <c r="BK172" s="524" t="s">
        <v>541</v>
      </c>
      <c r="BL172" s="522" t="s">
        <v>541</v>
      </c>
      <c r="BN172" s="343"/>
      <c r="BO172" s="343"/>
      <c r="BP172" s="343"/>
    </row>
    <row r="173" spans="1:68">
      <c r="A173" s="149">
        <v>91</v>
      </c>
      <c r="B173" s="156" t="s">
        <v>56</v>
      </c>
      <c r="C173" s="172" t="s">
        <v>860</v>
      </c>
      <c r="D173" s="679"/>
      <c r="E173" s="766"/>
      <c r="F173" s="173" t="s">
        <v>1996</v>
      </c>
      <c r="G173" s="173" t="s">
        <v>1996</v>
      </c>
      <c r="H173" s="173" t="s">
        <v>845</v>
      </c>
      <c r="I173" s="150">
        <v>20.89</v>
      </c>
      <c r="J173" s="173">
        <v>74.120999999999995</v>
      </c>
      <c r="K173" s="156">
        <v>89000</v>
      </c>
      <c r="L173" s="154">
        <v>10</v>
      </c>
      <c r="M173" s="174">
        <v>384.01</v>
      </c>
      <c r="N173" s="167">
        <v>10</v>
      </c>
      <c r="O173" s="156">
        <v>0.53</v>
      </c>
      <c r="P173" s="154">
        <v>20</v>
      </c>
      <c r="Q173" s="156"/>
      <c r="R173" s="156"/>
      <c r="S173" s="148">
        <v>0.84</v>
      </c>
      <c r="T173" s="153">
        <f>10^S173</f>
        <v>6.9183097091893666</v>
      </c>
      <c r="U173" s="148">
        <v>0.62</v>
      </c>
      <c r="V173" s="520">
        <f>10^U173</f>
        <v>4.1686938347033546</v>
      </c>
      <c r="X173" s="512"/>
      <c r="Y173" s="156"/>
      <c r="Z173" s="156"/>
      <c r="AA173" s="156"/>
      <c r="AB173" s="156"/>
      <c r="AC173" s="501"/>
      <c r="AD173" s="690"/>
      <c r="AE173" s="512">
        <v>0.1</v>
      </c>
      <c r="AF173" s="156"/>
      <c r="AG173" s="156"/>
      <c r="AH173" s="156"/>
      <c r="AI173" s="690"/>
      <c r="AJ173" s="153"/>
      <c r="AK173" s="153"/>
      <c r="AL173" s="153"/>
      <c r="AM173" s="153"/>
      <c r="AN173" s="153"/>
      <c r="AO173" s="153"/>
      <c r="AP173" s="153"/>
      <c r="AQ173" s="153"/>
      <c r="AR173" s="153"/>
      <c r="AS173" s="810"/>
      <c r="AT173" s="173"/>
      <c r="AU173" s="153"/>
      <c r="AV173" s="156"/>
      <c r="AW173" s="153"/>
      <c r="AX173" s="156"/>
      <c r="AY173" s="153"/>
      <c r="AZ173" s="153"/>
      <c r="BA173" s="156"/>
      <c r="BB173" s="684"/>
      <c r="BC173" s="157"/>
      <c r="BD173" s="521"/>
      <c r="BE173" s="521"/>
      <c r="BF173" s="521"/>
      <c r="BG173" s="521"/>
      <c r="BH173" s="521"/>
      <c r="BI173" s="521"/>
      <c r="BJ173" s="795"/>
      <c r="BK173" s="523"/>
      <c r="BL173" s="521"/>
      <c r="BN173" s="343"/>
      <c r="BO173" s="343"/>
      <c r="BP173" s="343"/>
    </row>
    <row r="174" spans="1:68" ht="63.75">
      <c r="A174" s="149"/>
      <c r="B174" s="158"/>
      <c r="C174" s="172"/>
      <c r="D174" s="679"/>
      <c r="E174" s="766"/>
      <c r="F174" s="159"/>
      <c r="G174" s="159"/>
      <c r="H174" s="159"/>
      <c r="I174" s="158" t="s">
        <v>863</v>
      </c>
      <c r="J174" s="159" t="s">
        <v>801</v>
      </c>
      <c r="K174" s="158" t="s">
        <v>861</v>
      </c>
      <c r="L174" s="160"/>
      <c r="M174" s="160" t="s">
        <v>862</v>
      </c>
      <c r="N174" s="160"/>
      <c r="O174" s="155" t="s">
        <v>654</v>
      </c>
      <c r="P174" s="160"/>
      <c r="Q174" s="158"/>
      <c r="R174" s="158"/>
      <c r="S174" s="158" t="s">
        <v>801</v>
      </c>
      <c r="T174" s="153"/>
      <c r="U174" s="158" t="s">
        <v>851</v>
      </c>
      <c r="V174" s="520"/>
      <c r="W174" s="794"/>
      <c r="X174" s="185"/>
      <c r="Y174" s="161"/>
      <c r="Z174" s="161"/>
      <c r="AA174" s="161"/>
      <c r="AB174" s="161"/>
      <c r="AC174" s="497"/>
      <c r="AD174" s="678"/>
      <c r="AE174" s="185" t="s">
        <v>864</v>
      </c>
      <c r="AF174" s="163"/>
      <c r="AG174" s="158"/>
      <c r="AH174" s="158"/>
      <c r="AI174" s="695"/>
      <c r="AJ174" s="161"/>
      <c r="AK174" s="161"/>
      <c r="AL174" s="161"/>
      <c r="AM174" s="161"/>
      <c r="AN174" s="161"/>
      <c r="AO174" s="161"/>
      <c r="AP174" s="161"/>
      <c r="AQ174" s="161"/>
      <c r="AR174" s="161"/>
      <c r="AS174" s="678"/>
      <c r="AT174" s="185"/>
      <c r="AU174" s="162"/>
      <c r="AV174" s="163"/>
      <c r="AW174" s="164"/>
      <c r="AX174" s="163"/>
      <c r="AY174" s="162"/>
      <c r="AZ174" s="164"/>
      <c r="BA174" s="163"/>
      <c r="BB174" s="695"/>
      <c r="BC174" s="165"/>
      <c r="BD174" s="522"/>
      <c r="BE174" s="522"/>
      <c r="BF174" s="522"/>
      <c r="BG174" s="522"/>
      <c r="BH174" s="522"/>
      <c r="BI174" s="522"/>
      <c r="BJ174" s="806"/>
      <c r="BK174" s="524"/>
      <c r="BL174" s="522"/>
      <c r="BN174" s="343"/>
      <c r="BO174" s="343"/>
      <c r="BP174" s="343"/>
    </row>
    <row r="175" spans="1:68">
      <c r="A175" s="191">
        <v>92</v>
      </c>
      <c r="B175" s="191" t="s">
        <v>361</v>
      </c>
      <c r="C175" s="486" t="s">
        <v>750</v>
      </c>
      <c r="D175" s="725" t="s">
        <v>2536</v>
      </c>
      <c r="E175" s="728"/>
      <c r="F175" s="307"/>
      <c r="G175" s="307"/>
      <c r="H175" s="307"/>
      <c r="I175" s="307"/>
      <c r="J175" s="307"/>
      <c r="K175" s="307"/>
      <c r="L175" s="307"/>
      <c r="M175" s="307"/>
      <c r="N175" s="307"/>
      <c r="O175" s="301">
        <v>529</v>
      </c>
      <c r="P175" s="307">
        <v>20</v>
      </c>
      <c r="Q175" s="307"/>
      <c r="R175" s="307"/>
      <c r="S175" s="300"/>
      <c r="T175" s="307"/>
      <c r="U175" s="300">
        <v>3.28</v>
      </c>
      <c r="V175" s="519">
        <f>10^U175</f>
        <v>1905.4607179632485</v>
      </c>
      <c r="X175" s="510"/>
      <c r="Y175" s="307"/>
      <c r="Z175" s="307"/>
      <c r="AA175" s="307"/>
      <c r="AB175" s="307"/>
      <c r="AC175" s="498"/>
      <c r="AE175" s="510"/>
      <c r="AF175" s="307"/>
      <c r="AG175" s="307"/>
      <c r="AH175" s="307"/>
      <c r="AJ175" s="193"/>
      <c r="AK175" s="193"/>
      <c r="AL175" s="193"/>
      <c r="AM175" s="193"/>
      <c r="AN175" s="193"/>
      <c r="AO175" s="193"/>
      <c r="AP175" s="193"/>
      <c r="AQ175" s="193"/>
      <c r="AR175" s="193"/>
      <c r="AT175" s="526"/>
      <c r="AU175" s="193"/>
      <c r="AV175" s="193"/>
      <c r="AW175" s="193"/>
      <c r="AX175" s="193"/>
      <c r="AY175" s="193"/>
      <c r="AZ175" s="193"/>
      <c r="BA175" s="193"/>
      <c r="BC175" s="191"/>
      <c r="BD175" s="486"/>
      <c r="BE175" s="486"/>
      <c r="BF175" s="486"/>
      <c r="BG175" s="486"/>
      <c r="BH175" s="486"/>
      <c r="BI175" s="486"/>
      <c r="BK175" s="516"/>
      <c r="BL175" s="486"/>
      <c r="BN175" s="343"/>
      <c r="BO175" s="343"/>
      <c r="BP175" s="343"/>
    </row>
    <row r="176" spans="1:68">
      <c r="A176" s="191"/>
      <c r="B176" s="191"/>
      <c r="C176" s="486"/>
      <c r="D176" s="725"/>
      <c r="E176" s="728"/>
      <c r="F176" s="307"/>
      <c r="G176" s="307"/>
      <c r="H176" s="307"/>
      <c r="I176" s="307"/>
      <c r="J176" s="307"/>
      <c r="K176" s="307"/>
      <c r="L176" s="307"/>
      <c r="M176" s="307"/>
      <c r="N176" s="307"/>
      <c r="O176" s="301" t="s">
        <v>654</v>
      </c>
      <c r="P176" s="307"/>
      <c r="Q176" s="307"/>
      <c r="R176" s="307"/>
      <c r="S176" s="300"/>
      <c r="T176" s="307"/>
      <c r="U176" s="300" t="s">
        <v>654</v>
      </c>
      <c r="V176" s="498"/>
      <c r="X176" s="510"/>
      <c r="Y176" s="307"/>
      <c r="Z176" s="307"/>
      <c r="AA176" s="307"/>
      <c r="AB176" s="307"/>
      <c r="AC176" s="498"/>
      <c r="AE176" s="510"/>
      <c r="AF176" s="307"/>
      <c r="AG176" s="307"/>
      <c r="AH176" s="307"/>
      <c r="AJ176" s="193"/>
      <c r="AK176" s="193"/>
      <c r="AL176" s="193"/>
      <c r="AM176" s="193"/>
      <c r="AN176" s="193"/>
      <c r="AO176" s="193"/>
      <c r="AP176" s="193"/>
      <c r="AQ176" s="193"/>
      <c r="AR176" s="193"/>
      <c r="AT176" s="526"/>
      <c r="AU176" s="193"/>
      <c r="AV176" s="193"/>
      <c r="AW176" s="193"/>
      <c r="AX176" s="193"/>
      <c r="AY176" s="193"/>
      <c r="AZ176" s="193"/>
      <c r="BA176" s="193"/>
      <c r="BC176" s="191"/>
      <c r="BD176" s="486"/>
      <c r="BE176" s="486"/>
      <c r="BF176" s="486"/>
      <c r="BG176" s="486"/>
      <c r="BH176" s="486"/>
      <c r="BI176" s="486"/>
      <c r="BK176" s="516"/>
      <c r="BL176" s="486"/>
      <c r="BN176" s="343"/>
      <c r="BO176" s="343"/>
      <c r="BP176" s="343"/>
    </row>
    <row r="177" spans="1:68">
      <c r="A177" s="191">
        <v>93</v>
      </c>
      <c r="B177" s="191" t="s">
        <v>362</v>
      </c>
      <c r="C177" s="486" t="s">
        <v>750</v>
      </c>
      <c r="D177" s="725" t="s">
        <v>2537</v>
      </c>
      <c r="E177" s="728"/>
      <c r="F177" s="307"/>
      <c r="G177" s="307"/>
      <c r="H177" s="307"/>
      <c r="I177" s="307"/>
      <c r="J177" s="307"/>
      <c r="K177" s="307"/>
      <c r="L177" s="307"/>
      <c r="M177" s="307"/>
      <c r="N177" s="307"/>
      <c r="O177" s="301">
        <v>597</v>
      </c>
      <c r="P177" s="307">
        <v>20</v>
      </c>
      <c r="Q177" s="307"/>
      <c r="R177" s="307"/>
      <c r="S177" s="300"/>
      <c r="T177" s="307"/>
      <c r="U177" s="300">
        <v>2.8</v>
      </c>
      <c r="V177" s="519">
        <f>10^U177</f>
        <v>630.95734448019323</v>
      </c>
      <c r="X177" s="510"/>
      <c r="Y177" s="307"/>
      <c r="Z177" s="307"/>
      <c r="AA177" s="307"/>
      <c r="AB177" s="307"/>
      <c r="AC177" s="498"/>
      <c r="AE177" s="510"/>
      <c r="AF177" s="307"/>
      <c r="AG177" s="307"/>
      <c r="AH177" s="307"/>
      <c r="AJ177" s="193"/>
      <c r="AK177" s="193"/>
      <c r="AL177" s="193"/>
      <c r="AM177" s="193"/>
      <c r="AN177" s="193"/>
      <c r="AO177" s="193"/>
      <c r="AP177" s="193"/>
      <c r="AQ177" s="193"/>
      <c r="AR177" s="193"/>
      <c r="AT177" s="526"/>
      <c r="AU177" s="193"/>
      <c r="AV177" s="193"/>
      <c r="AW177" s="193"/>
      <c r="AX177" s="193"/>
      <c r="AY177" s="193"/>
      <c r="AZ177" s="193"/>
      <c r="BA177" s="193"/>
      <c r="BC177" s="191"/>
      <c r="BD177" s="486"/>
      <c r="BE177" s="486"/>
      <c r="BF177" s="486"/>
      <c r="BG177" s="486"/>
      <c r="BH177" s="486"/>
      <c r="BI177" s="486"/>
      <c r="BK177" s="516"/>
      <c r="BL177" s="486"/>
      <c r="BN177" s="343"/>
      <c r="BO177" s="343"/>
      <c r="BP177" s="343"/>
    </row>
    <row r="178" spans="1:68" ht="48" customHeight="1">
      <c r="A178" s="191"/>
      <c r="B178" s="191"/>
      <c r="C178" s="486"/>
      <c r="D178" s="725"/>
      <c r="E178" s="728"/>
      <c r="F178" s="307"/>
      <c r="G178" s="307"/>
      <c r="H178" s="307"/>
      <c r="I178" s="307"/>
      <c r="J178" s="307"/>
      <c r="K178" s="307"/>
      <c r="L178" s="307"/>
      <c r="M178" s="307"/>
      <c r="N178" s="307"/>
      <c r="O178" s="301" t="s">
        <v>654</v>
      </c>
      <c r="P178" s="307"/>
      <c r="Q178" s="307"/>
      <c r="R178" s="307"/>
      <c r="S178" s="300"/>
      <c r="T178" s="307"/>
      <c r="U178" s="300" t="s">
        <v>1372</v>
      </c>
      <c r="V178" s="498"/>
      <c r="X178" s="510"/>
      <c r="Y178" s="307"/>
      <c r="Z178" s="307"/>
      <c r="AA178" s="307"/>
      <c r="AB178" s="307"/>
      <c r="AC178" s="498"/>
      <c r="AE178" s="510"/>
      <c r="AF178" s="307"/>
      <c r="AG178" s="307"/>
      <c r="AH178" s="307"/>
      <c r="AJ178" s="193"/>
      <c r="AK178" s="193"/>
      <c r="AL178" s="193"/>
      <c r="AM178" s="193"/>
      <c r="AN178" s="193"/>
      <c r="AO178" s="193"/>
      <c r="AP178" s="193"/>
      <c r="AQ178" s="193"/>
      <c r="AR178" s="193"/>
      <c r="AT178" s="526"/>
      <c r="AU178" s="193"/>
      <c r="AV178" s="193"/>
      <c r="AW178" s="193"/>
      <c r="AX178" s="193"/>
      <c r="AY178" s="193"/>
      <c r="AZ178" s="193"/>
      <c r="BA178" s="193"/>
      <c r="BC178" s="191"/>
      <c r="BD178" s="486"/>
      <c r="BE178" s="486"/>
      <c r="BF178" s="486"/>
      <c r="BG178" s="486"/>
      <c r="BH178" s="486"/>
      <c r="BI178" s="486"/>
      <c r="BK178" s="516"/>
      <c r="BL178" s="486"/>
      <c r="BN178" s="343"/>
      <c r="BO178" s="343"/>
      <c r="BP178" s="343"/>
    </row>
    <row r="179" spans="1:68">
      <c r="A179" s="191">
        <v>94</v>
      </c>
      <c r="B179" s="191" t="s">
        <v>363</v>
      </c>
      <c r="C179" s="486" t="s">
        <v>1366</v>
      </c>
      <c r="D179" s="191"/>
      <c r="E179" s="728"/>
      <c r="F179" s="191" t="s">
        <v>1996</v>
      </c>
      <c r="G179" s="173" t="s">
        <v>541</v>
      </c>
      <c r="H179" s="173" t="s">
        <v>541</v>
      </c>
      <c r="I179" s="191"/>
      <c r="J179" s="191"/>
      <c r="K179" s="191"/>
      <c r="L179" s="191"/>
      <c r="M179" s="191"/>
      <c r="N179" s="191"/>
      <c r="O179" s="192">
        <v>1823.8</v>
      </c>
      <c r="P179" s="191">
        <v>25</v>
      </c>
      <c r="Q179" s="191"/>
      <c r="R179" s="191"/>
      <c r="S179" s="149"/>
      <c r="T179" s="191"/>
      <c r="U179" s="149">
        <v>3.6</v>
      </c>
      <c r="V179" s="520">
        <f>10^U179</f>
        <v>3981.0717055349769</v>
      </c>
      <c r="X179" s="516"/>
      <c r="Y179" s="191"/>
      <c r="Z179" s="191"/>
      <c r="AA179" s="191"/>
      <c r="AB179" s="191"/>
      <c r="AC179" s="486"/>
      <c r="AE179" s="516"/>
      <c r="AF179" s="191"/>
      <c r="AG179" s="191"/>
      <c r="AH179" s="191"/>
      <c r="AJ179" s="193"/>
      <c r="AK179" s="193"/>
      <c r="AL179" s="193"/>
      <c r="AM179" s="193"/>
      <c r="AN179" s="193"/>
      <c r="AO179" s="193"/>
      <c r="AP179" s="193"/>
      <c r="AQ179" s="193"/>
      <c r="AR179" s="193"/>
      <c r="AT179" s="526"/>
      <c r="AU179" s="193"/>
      <c r="AV179" s="193"/>
      <c r="AW179" s="193"/>
      <c r="AX179" s="193"/>
      <c r="AY179" s="193"/>
      <c r="AZ179" s="193"/>
      <c r="BA179" s="193"/>
      <c r="BC179" s="191"/>
      <c r="BD179" s="486"/>
      <c r="BE179" s="486"/>
      <c r="BF179" s="486"/>
      <c r="BG179" s="486"/>
      <c r="BH179" s="486"/>
      <c r="BI179" s="486"/>
      <c r="BK179" s="516"/>
      <c r="BL179" s="486"/>
      <c r="BN179" s="343"/>
      <c r="BO179" s="343"/>
      <c r="BP179" s="343"/>
    </row>
    <row r="180" spans="1:68">
      <c r="A180" s="191"/>
      <c r="B180" s="191"/>
      <c r="C180" s="486"/>
      <c r="D180" s="191"/>
      <c r="E180" s="728"/>
      <c r="F180" s="191"/>
      <c r="G180" s="191"/>
      <c r="H180" s="191"/>
      <c r="I180" s="191"/>
      <c r="J180" s="191"/>
      <c r="K180" s="191"/>
      <c r="L180" s="191"/>
      <c r="M180" s="191"/>
      <c r="N180" s="191"/>
      <c r="O180" s="192" t="s">
        <v>836</v>
      </c>
      <c r="P180" s="191"/>
      <c r="Q180" s="191"/>
      <c r="R180" s="191"/>
      <c r="S180" s="149"/>
      <c r="T180" s="191"/>
      <c r="U180" s="149" t="s">
        <v>654</v>
      </c>
      <c r="V180" s="486"/>
      <c r="X180" s="516"/>
      <c r="Y180" s="191"/>
      <c r="Z180" s="191"/>
      <c r="AA180" s="191"/>
      <c r="AB180" s="191"/>
      <c r="AC180" s="486"/>
      <c r="AE180" s="516"/>
      <c r="AF180" s="191"/>
      <c r="AG180" s="191"/>
      <c r="AH180" s="191"/>
      <c r="AJ180" s="193"/>
      <c r="AK180" s="193"/>
      <c r="AL180" s="193"/>
      <c r="AM180" s="193"/>
      <c r="AN180" s="193"/>
      <c r="AO180" s="193"/>
      <c r="AP180" s="193"/>
      <c r="AQ180" s="193"/>
      <c r="AR180" s="193"/>
      <c r="AT180" s="526"/>
      <c r="AU180" s="193"/>
      <c r="AV180" s="193"/>
      <c r="AW180" s="193"/>
      <c r="AX180" s="193"/>
      <c r="AY180" s="193"/>
      <c r="AZ180" s="193"/>
      <c r="BA180" s="193"/>
      <c r="BC180" s="191"/>
      <c r="BD180" s="486"/>
      <c r="BE180" s="486"/>
      <c r="BF180" s="486"/>
      <c r="BG180" s="486"/>
      <c r="BH180" s="486"/>
      <c r="BI180" s="486"/>
      <c r="BK180" s="516"/>
      <c r="BL180" s="486"/>
      <c r="BN180" s="343"/>
      <c r="BO180" s="343"/>
      <c r="BP180" s="343"/>
    </row>
    <row r="181" spans="1:68">
      <c r="A181" s="191">
        <v>95</v>
      </c>
      <c r="B181" s="191" t="s">
        <v>364</v>
      </c>
      <c r="C181" s="486" t="s">
        <v>1366</v>
      </c>
      <c r="D181" s="191"/>
      <c r="E181" s="728"/>
      <c r="F181" s="191" t="s">
        <v>1996</v>
      </c>
      <c r="G181" s="173" t="s">
        <v>541</v>
      </c>
      <c r="H181" s="173" t="s">
        <v>541</v>
      </c>
      <c r="I181" s="191"/>
      <c r="J181" s="191"/>
      <c r="K181" s="191"/>
      <c r="L181" s="191"/>
      <c r="M181" s="191"/>
      <c r="N181" s="191"/>
      <c r="O181" s="192">
        <v>1300</v>
      </c>
      <c r="P181" s="191">
        <v>25</v>
      </c>
      <c r="Q181" s="191"/>
      <c r="R181" s="191"/>
      <c r="S181" s="149"/>
      <c r="T181" s="191"/>
      <c r="U181" s="149">
        <v>3.72</v>
      </c>
      <c r="V181" s="520">
        <f>10^U181</f>
        <v>5248.0746024977352</v>
      </c>
      <c r="X181" s="516"/>
      <c r="Y181" s="191"/>
      <c r="Z181" s="191"/>
      <c r="AA181" s="191"/>
      <c r="AB181" s="191"/>
      <c r="AC181" s="486"/>
      <c r="AE181" s="516"/>
      <c r="AF181" s="191"/>
      <c r="AG181" s="191"/>
      <c r="AH181" s="191"/>
      <c r="AJ181" s="193"/>
      <c r="AK181" s="193"/>
      <c r="AL181" s="193"/>
      <c r="AM181" s="193"/>
      <c r="AN181" s="193"/>
      <c r="AO181" s="193"/>
      <c r="AP181" s="193"/>
      <c r="AQ181" s="193"/>
      <c r="AR181" s="193"/>
      <c r="AT181" s="526"/>
      <c r="AU181" s="193"/>
      <c r="AV181" s="193"/>
      <c r="AW181" s="193"/>
      <c r="AX181" s="193"/>
      <c r="AY181" s="193"/>
      <c r="AZ181" s="193"/>
      <c r="BA181" s="193"/>
      <c r="BC181" s="191"/>
      <c r="BD181" s="486"/>
      <c r="BE181" s="486"/>
      <c r="BF181" s="486"/>
      <c r="BG181" s="486"/>
      <c r="BH181" s="486"/>
      <c r="BI181" s="486"/>
      <c r="BK181" s="516"/>
      <c r="BL181" s="486"/>
      <c r="BN181" s="343"/>
      <c r="BO181" s="343"/>
      <c r="BP181" s="343"/>
    </row>
    <row r="182" spans="1:68" ht="38.25">
      <c r="A182" s="191"/>
      <c r="B182" s="191"/>
      <c r="C182" s="486"/>
      <c r="D182" s="191"/>
      <c r="E182" s="728"/>
      <c r="F182" s="191"/>
      <c r="G182" s="191"/>
      <c r="H182" s="191"/>
      <c r="I182" s="191"/>
      <c r="J182" s="191"/>
      <c r="K182" s="191"/>
      <c r="L182" s="191"/>
      <c r="M182" s="191"/>
      <c r="N182" s="191"/>
      <c r="O182" s="192" t="s">
        <v>654</v>
      </c>
      <c r="P182" s="191"/>
      <c r="Q182" s="191"/>
      <c r="R182" s="191"/>
      <c r="S182" s="149"/>
      <c r="T182" s="191"/>
      <c r="U182" s="149" t="s">
        <v>1373</v>
      </c>
      <c r="V182" s="486"/>
      <c r="X182" s="516"/>
      <c r="Y182" s="191"/>
      <c r="Z182" s="191"/>
      <c r="AA182" s="191"/>
      <c r="AB182" s="191"/>
      <c r="AC182" s="486"/>
      <c r="AE182" s="516"/>
      <c r="AF182" s="191"/>
      <c r="AG182" s="191"/>
      <c r="AH182" s="191"/>
      <c r="AJ182" s="193"/>
      <c r="AK182" s="193"/>
      <c r="AL182" s="193"/>
      <c r="AM182" s="193"/>
      <c r="AN182" s="193"/>
      <c r="AO182" s="193"/>
      <c r="AP182" s="193"/>
      <c r="AQ182" s="193"/>
      <c r="AR182" s="193"/>
      <c r="AT182" s="526"/>
      <c r="AU182" s="193"/>
      <c r="AV182" s="193"/>
      <c r="AW182" s="193"/>
      <c r="AX182" s="193"/>
      <c r="AY182" s="193"/>
      <c r="AZ182" s="193"/>
      <c r="BA182" s="193"/>
      <c r="BC182" s="191"/>
      <c r="BD182" s="486"/>
      <c r="BE182" s="486"/>
      <c r="BF182" s="486"/>
      <c r="BG182" s="486"/>
      <c r="BH182" s="486"/>
      <c r="BI182" s="486"/>
      <c r="BK182" s="516"/>
      <c r="BL182" s="486"/>
      <c r="BN182" s="343"/>
      <c r="BO182" s="343"/>
      <c r="BP182" s="343"/>
    </row>
    <row r="183" spans="1:68">
      <c r="A183" s="191">
        <v>100</v>
      </c>
      <c r="B183" s="191" t="s">
        <v>369</v>
      </c>
      <c r="C183" s="486" t="s">
        <v>750</v>
      </c>
      <c r="D183" s="191"/>
      <c r="E183" s="728"/>
      <c r="F183" s="191" t="s">
        <v>1996</v>
      </c>
      <c r="G183" s="173" t="s">
        <v>541</v>
      </c>
      <c r="H183" s="173" t="s">
        <v>541</v>
      </c>
      <c r="I183" s="191"/>
      <c r="J183" s="191"/>
      <c r="K183" s="191"/>
      <c r="L183" s="191"/>
      <c r="M183" s="191"/>
      <c r="N183" s="191"/>
      <c r="O183" s="192">
        <v>5.7599999999999998E-2</v>
      </c>
      <c r="P183" s="191">
        <v>10</v>
      </c>
      <c r="Q183" s="191"/>
      <c r="R183" s="191"/>
      <c r="S183" s="191"/>
      <c r="T183" s="191"/>
      <c r="U183" s="191"/>
      <c r="V183" s="486"/>
      <c r="X183" s="516"/>
      <c r="Y183" s="191"/>
      <c r="Z183" s="191"/>
      <c r="AA183" s="191"/>
      <c r="AB183" s="191"/>
      <c r="AC183" s="486"/>
      <c r="AE183" s="516"/>
      <c r="AF183" s="191"/>
      <c r="AG183" s="191"/>
      <c r="AH183" s="191"/>
      <c r="AJ183" s="193"/>
      <c r="AK183" s="193"/>
      <c r="AL183" s="193"/>
      <c r="AM183" s="193"/>
      <c r="AN183" s="193"/>
      <c r="AO183" s="193"/>
      <c r="AP183" s="193"/>
      <c r="AQ183" s="193"/>
      <c r="AR183" s="193"/>
      <c r="AT183" s="526"/>
      <c r="AU183" s="193"/>
      <c r="AV183" s="193"/>
      <c r="AW183" s="193"/>
      <c r="AX183" s="193"/>
      <c r="AY183" s="193"/>
      <c r="AZ183" s="193"/>
      <c r="BA183" s="193"/>
      <c r="BC183" s="191"/>
      <c r="BD183" s="486"/>
      <c r="BE183" s="486"/>
      <c r="BF183" s="486"/>
      <c r="BG183" s="486"/>
      <c r="BH183" s="486"/>
      <c r="BI183" s="486"/>
      <c r="BK183" s="516"/>
      <c r="BL183" s="486"/>
      <c r="BN183" s="343"/>
      <c r="BO183" s="343"/>
      <c r="BP183" s="343"/>
    </row>
    <row r="184" spans="1:68">
      <c r="A184" s="191"/>
      <c r="B184" s="191"/>
      <c r="C184" s="486"/>
      <c r="D184" s="191"/>
      <c r="E184" s="728"/>
      <c r="F184" s="191"/>
      <c r="G184" s="191"/>
      <c r="H184" s="191"/>
      <c r="I184" s="191"/>
      <c r="J184" s="191"/>
      <c r="K184" s="191"/>
      <c r="L184" s="191"/>
      <c r="M184" s="191"/>
      <c r="N184" s="191"/>
      <c r="O184" s="168" t="s">
        <v>654</v>
      </c>
      <c r="P184" s="191"/>
      <c r="Q184" s="191"/>
      <c r="R184" s="191"/>
      <c r="S184" s="191"/>
      <c r="T184" s="191"/>
      <c r="U184" s="191"/>
      <c r="V184" s="486"/>
      <c r="X184" s="516"/>
      <c r="Y184" s="191"/>
      <c r="Z184" s="191"/>
      <c r="AA184" s="191"/>
      <c r="AB184" s="191"/>
      <c r="AC184" s="486"/>
      <c r="AE184" s="516"/>
      <c r="AF184" s="191"/>
      <c r="AG184" s="191"/>
      <c r="AH184" s="191"/>
      <c r="AJ184" s="193"/>
      <c r="AK184" s="193"/>
      <c r="AL184" s="193"/>
      <c r="AM184" s="193"/>
      <c r="AN184" s="193"/>
      <c r="AO184" s="193"/>
      <c r="AP184" s="193"/>
      <c r="AQ184" s="193"/>
      <c r="AR184" s="193"/>
      <c r="AT184" s="526"/>
      <c r="AU184" s="193"/>
      <c r="AV184" s="193"/>
      <c r="AW184" s="193"/>
      <c r="AX184" s="193"/>
      <c r="AY184" s="193"/>
      <c r="AZ184" s="193"/>
      <c r="BA184" s="193"/>
      <c r="BC184" s="191"/>
      <c r="BD184" s="486"/>
      <c r="BE184" s="486"/>
      <c r="BF184" s="486"/>
      <c r="BG184" s="486"/>
      <c r="BH184" s="486"/>
      <c r="BI184" s="486"/>
      <c r="BK184" s="516"/>
      <c r="BL184" s="486"/>
      <c r="BN184" s="343"/>
      <c r="BO184" s="343"/>
      <c r="BP184" s="343"/>
    </row>
    <row r="185" spans="1:68" ht="24" customHeight="1">
      <c r="A185" s="191">
        <v>101</v>
      </c>
      <c r="B185" s="191" t="s">
        <v>370</v>
      </c>
      <c r="C185" s="486" t="s">
        <v>1366</v>
      </c>
      <c r="D185" s="191"/>
      <c r="E185" s="728"/>
      <c r="F185" s="191" t="s">
        <v>1996</v>
      </c>
      <c r="G185" s="173" t="s">
        <v>541</v>
      </c>
      <c r="H185" s="173" t="s">
        <v>541</v>
      </c>
      <c r="I185" s="191"/>
      <c r="J185" s="191"/>
      <c r="K185" s="191"/>
      <c r="L185" s="191"/>
      <c r="M185" s="191"/>
      <c r="N185" s="191"/>
      <c r="O185" s="168">
        <v>1502</v>
      </c>
      <c r="P185" s="191">
        <v>25</v>
      </c>
      <c r="Q185" s="191"/>
      <c r="R185" s="191"/>
      <c r="S185" s="191"/>
      <c r="T185" s="191"/>
      <c r="U185" s="191">
        <v>3.35</v>
      </c>
      <c r="V185" s="520">
        <f>10^U185</f>
        <v>2238.7211385683418</v>
      </c>
      <c r="X185" s="516"/>
      <c r="Y185" s="191"/>
      <c r="Z185" s="191"/>
      <c r="AA185" s="191"/>
      <c r="AB185" s="191"/>
      <c r="AC185" s="486"/>
      <c r="AE185" s="516"/>
      <c r="AF185" s="191"/>
      <c r="AG185" s="191"/>
      <c r="AH185" s="191"/>
      <c r="AJ185" s="193"/>
      <c r="AK185" s="193"/>
      <c r="AL185" s="193"/>
      <c r="AM185" s="193"/>
      <c r="AN185" s="193"/>
      <c r="AO185" s="193"/>
      <c r="AP185" s="193"/>
      <c r="AQ185" s="193"/>
      <c r="AR185" s="193"/>
      <c r="AT185" s="526"/>
      <c r="AU185" s="193"/>
      <c r="AV185" s="193"/>
      <c r="AW185" s="193"/>
      <c r="AX185" s="193"/>
      <c r="AY185" s="193"/>
      <c r="AZ185" s="193"/>
      <c r="BA185" s="193"/>
      <c r="BC185" s="191"/>
      <c r="BD185" s="486"/>
      <c r="BE185" s="486"/>
      <c r="BF185" s="486"/>
      <c r="BG185" s="486"/>
      <c r="BH185" s="486"/>
      <c r="BI185" s="486"/>
      <c r="BK185" s="516"/>
      <c r="BL185" s="486"/>
      <c r="BN185" s="343"/>
      <c r="BO185" s="343"/>
      <c r="BP185" s="343"/>
    </row>
    <row r="186" spans="1:68" ht="51" customHeight="1">
      <c r="A186" s="191"/>
      <c r="B186" s="191"/>
      <c r="C186" s="486"/>
      <c r="D186" s="191"/>
      <c r="E186" s="728"/>
      <c r="F186" s="191"/>
      <c r="G186" s="191"/>
      <c r="H186" s="191"/>
      <c r="I186" s="191"/>
      <c r="J186" s="191"/>
      <c r="K186" s="191"/>
      <c r="L186" s="191"/>
      <c r="M186" s="191"/>
      <c r="N186" s="191"/>
      <c r="O186" s="168" t="s">
        <v>654</v>
      </c>
      <c r="P186" s="191"/>
      <c r="Q186" s="191"/>
      <c r="R186" s="191"/>
      <c r="S186" s="149"/>
      <c r="T186" s="191"/>
      <c r="U186" s="149" t="s">
        <v>1367</v>
      </c>
      <c r="V186" s="486"/>
      <c r="X186" s="516"/>
      <c r="Y186" s="191"/>
      <c r="Z186" s="191"/>
      <c r="AA186" s="191"/>
      <c r="AB186" s="191"/>
      <c r="AC186" s="486"/>
      <c r="AE186" s="516"/>
      <c r="AF186" s="191"/>
      <c r="AG186" s="191"/>
      <c r="AH186" s="191"/>
      <c r="AJ186" s="193"/>
      <c r="AK186" s="193"/>
      <c r="AL186" s="193"/>
      <c r="AM186" s="193"/>
      <c r="AN186" s="193"/>
      <c r="AO186" s="193"/>
      <c r="AP186" s="193"/>
      <c r="AQ186" s="193"/>
      <c r="AR186" s="193"/>
      <c r="AT186" s="526"/>
      <c r="AU186" s="193"/>
      <c r="AV186" s="193"/>
      <c r="AW186" s="193"/>
      <c r="AX186" s="193"/>
      <c r="AY186" s="193"/>
      <c r="AZ186" s="193"/>
      <c r="BA186" s="193"/>
      <c r="BC186" s="191"/>
      <c r="BD186" s="486"/>
      <c r="BE186" s="486"/>
      <c r="BF186" s="486"/>
      <c r="BG186" s="486"/>
      <c r="BH186" s="486"/>
      <c r="BI186" s="486"/>
      <c r="BK186" s="516"/>
      <c r="BL186" s="486"/>
      <c r="BN186" s="343"/>
      <c r="BO186" s="343"/>
      <c r="BP186" s="343"/>
    </row>
    <row r="187" spans="1:68" ht="15.75">
      <c r="A187" s="149">
        <v>102</v>
      </c>
      <c r="B187" s="150" t="s">
        <v>112</v>
      </c>
      <c r="C187" s="151" t="s">
        <v>909</v>
      </c>
      <c r="D187" s="150"/>
      <c r="E187" s="767"/>
      <c r="F187" s="152" t="s">
        <v>1996</v>
      </c>
      <c r="G187" s="173" t="s">
        <v>541</v>
      </c>
      <c r="H187" s="173" t="s">
        <v>541</v>
      </c>
      <c r="I187" s="150" t="s">
        <v>541</v>
      </c>
      <c r="J187" s="152">
        <v>312.36</v>
      </c>
      <c r="K187" s="153">
        <v>2.82</v>
      </c>
      <c r="L187" s="154">
        <v>20</v>
      </c>
      <c r="M187" s="182">
        <v>1.15E-3</v>
      </c>
      <c r="N187" s="154">
        <v>20</v>
      </c>
      <c r="O187" s="156">
        <v>0.13200000000000001</v>
      </c>
      <c r="P187" s="154">
        <v>25</v>
      </c>
      <c r="Q187" s="156">
        <v>1.9999999999999999E-6</v>
      </c>
      <c r="R187" s="156"/>
      <c r="S187" s="153">
        <v>4.58</v>
      </c>
      <c r="T187" s="153">
        <f>10^S187</f>
        <v>38018.939632056143</v>
      </c>
      <c r="U187" s="153">
        <v>3.52</v>
      </c>
      <c r="V187" s="520">
        <f>10^U187</f>
        <v>3311.3112148259115</v>
      </c>
      <c r="W187" s="795"/>
      <c r="X187" s="512"/>
      <c r="Y187" s="156"/>
      <c r="Z187" s="156"/>
      <c r="AA187" s="156"/>
      <c r="AB187" s="156"/>
      <c r="AC187" s="501"/>
      <c r="AD187" s="690"/>
      <c r="AE187" s="512">
        <v>0.2</v>
      </c>
      <c r="AF187" s="156"/>
      <c r="AG187" s="156"/>
      <c r="AH187" s="156"/>
      <c r="AI187" s="690"/>
      <c r="AJ187" s="153"/>
      <c r="AK187" s="153"/>
      <c r="AL187" s="153"/>
      <c r="AM187" s="153"/>
      <c r="AN187" s="153"/>
      <c r="AO187" s="153"/>
      <c r="AP187" s="153"/>
      <c r="AQ187" s="153"/>
      <c r="AR187" s="153"/>
      <c r="AS187" s="810"/>
      <c r="AT187" s="173"/>
      <c r="AU187" s="153"/>
      <c r="AV187" s="156"/>
      <c r="AW187" s="153"/>
      <c r="AX187" s="156"/>
      <c r="AY187" s="153"/>
      <c r="AZ187" s="153"/>
      <c r="BA187" s="156"/>
      <c r="BB187" s="684"/>
      <c r="BC187" s="157"/>
      <c r="BD187" s="521"/>
      <c r="BE187" s="521"/>
      <c r="BF187" s="521"/>
      <c r="BG187" s="521"/>
      <c r="BH187" s="521"/>
      <c r="BI187" s="521"/>
      <c r="BJ187" s="795"/>
      <c r="BK187" s="523"/>
      <c r="BL187" s="521"/>
      <c r="BN187" s="343"/>
      <c r="BO187" s="343"/>
      <c r="BP187" s="343"/>
    </row>
    <row r="188" spans="1:68" ht="242.25">
      <c r="A188" s="149"/>
      <c r="B188" s="158"/>
      <c r="C188" s="151"/>
      <c r="D188" s="150"/>
      <c r="E188" s="767"/>
      <c r="F188" s="159"/>
      <c r="G188" s="159"/>
      <c r="H188" s="159"/>
      <c r="I188" s="158" t="s">
        <v>661</v>
      </c>
      <c r="J188" s="159" t="s">
        <v>910</v>
      </c>
      <c r="K188" s="160" t="s">
        <v>911</v>
      </c>
      <c r="L188" s="160"/>
      <c r="M188" s="160" t="s">
        <v>912</v>
      </c>
      <c r="N188" s="160"/>
      <c r="O188" s="155" t="s">
        <v>654</v>
      </c>
      <c r="P188" s="160"/>
      <c r="Q188" s="160" t="s">
        <v>658</v>
      </c>
      <c r="R188" s="160"/>
      <c r="S188" s="160" t="s">
        <v>913</v>
      </c>
      <c r="T188" s="153"/>
      <c r="U188" s="160" t="s">
        <v>913</v>
      </c>
      <c r="V188" s="520"/>
      <c r="W188" s="796"/>
      <c r="X188" s="159"/>
      <c r="Y188" s="158"/>
      <c r="Z188" s="158"/>
      <c r="AA188" s="158"/>
      <c r="AB188" s="158"/>
      <c r="AC188" s="502"/>
      <c r="AD188" s="695"/>
      <c r="AE188" s="159" t="s">
        <v>914</v>
      </c>
      <c r="AF188" s="158"/>
      <c r="AG188" s="158"/>
      <c r="AH188" s="158"/>
      <c r="AI188" s="695"/>
      <c r="AJ188" s="161"/>
      <c r="AK188" s="161"/>
      <c r="AL188" s="161"/>
      <c r="AM188" s="161"/>
      <c r="AN188" s="161"/>
      <c r="AO188" s="161"/>
      <c r="AP188" s="161"/>
      <c r="AQ188" s="161"/>
      <c r="AR188" s="161"/>
      <c r="AS188" s="678"/>
      <c r="AT188" s="185"/>
      <c r="AU188" s="162"/>
      <c r="AV188" s="163"/>
      <c r="AW188" s="164"/>
      <c r="AX188" s="163"/>
      <c r="AY188" s="162"/>
      <c r="AZ188" s="164"/>
      <c r="BA188" s="163"/>
      <c r="BB188" s="695"/>
      <c r="BC188" s="165"/>
      <c r="BD188" s="522"/>
      <c r="BE188" s="522"/>
      <c r="BF188" s="522"/>
      <c r="BG188" s="522"/>
      <c r="BH188" s="522"/>
      <c r="BI188" s="522"/>
      <c r="BJ188" s="806"/>
      <c r="BK188" s="524"/>
      <c r="BL188" s="522"/>
      <c r="BN188" s="343"/>
      <c r="BO188" s="343"/>
      <c r="BP188" s="343"/>
    </row>
    <row r="189" spans="1:68" ht="15.75">
      <c r="A189" s="149">
        <v>103</v>
      </c>
      <c r="B189" s="150" t="s">
        <v>113</v>
      </c>
      <c r="C189" s="151" t="s">
        <v>915</v>
      </c>
      <c r="D189" s="150"/>
      <c r="E189" s="767"/>
      <c r="F189" s="152" t="s">
        <v>1996</v>
      </c>
      <c r="G189" s="173" t="s">
        <v>541</v>
      </c>
      <c r="H189" s="173" t="s">
        <v>541</v>
      </c>
      <c r="I189" s="150" t="s">
        <v>541</v>
      </c>
      <c r="J189" s="152">
        <v>222.23699999999999</v>
      </c>
      <c r="K189" s="150">
        <v>1113</v>
      </c>
      <c r="L189" s="154">
        <v>10</v>
      </c>
      <c r="M189" s="183">
        <v>9.75E-3</v>
      </c>
      <c r="N189" s="154">
        <v>10</v>
      </c>
      <c r="O189" s="156">
        <v>2E-3</v>
      </c>
      <c r="P189" s="154">
        <v>25</v>
      </c>
      <c r="Q189" s="156">
        <v>1.9999999999999999E-6</v>
      </c>
      <c r="R189" s="156"/>
      <c r="S189" s="153">
        <v>2.46</v>
      </c>
      <c r="T189" s="153">
        <f>10^S189</f>
        <v>288.40315031266073</v>
      </c>
      <c r="U189" s="153">
        <v>2.2999999999999998</v>
      </c>
      <c r="V189" s="520">
        <f>10^U189</f>
        <v>199.52623149688802</v>
      </c>
      <c r="W189" s="795"/>
      <c r="X189" s="512"/>
      <c r="Y189" s="156"/>
      <c r="Z189" s="156"/>
      <c r="AA189" s="156"/>
      <c r="AB189" s="156"/>
      <c r="AC189" s="501"/>
      <c r="AD189" s="690"/>
      <c r="AE189" s="512">
        <v>0.8</v>
      </c>
      <c r="AF189" s="156"/>
      <c r="AG189" s="150"/>
      <c r="AH189" s="150"/>
      <c r="AI189" s="684"/>
      <c r="AJ189" s="153"/>
      <c r="AK189" s="153"/>
      <c r="AL189" s="153"/>
      <c r="AM189" s="153"/>
      <c r="AN189" s="153"/>
      <c r="AO189" s="153"/>
      <c r="AP189" s="153"/>
      <c r="AQ189" s="153"/>
      <c r="AR189" s="153"/>
      <c r="AS189" s="810"/>
      <c r="AT189" s="173"/>
      <c r="AU189" s="153"/>
      <c r="AV189" s="156"/>
      <c r="AW189" s="153"/>
      <c r="AX189" s="156"/>
      <c r="AY189" s="153"/>
      <c r="AZ189" s="153"/>
      <c r="BA189" s="156"/>
      <c r="BB189" s="684"/>
      <c r="BC189" s="157"/>
      <c r="BD189" s="521"/>
      <c r="BE189" s="521"/>
      <c r="BF189" s="521"/>
      <c r="BG189" s="521"/>
      <c r="BH189" s="521"/>
      <c r="BI189" s="521"/>
      <c r="BJ189" s="795"/>
      <c r="BK189" s="523"/>
      <c r="BL189" s="521"/>
      <c r="BN189" s="343"/>
      <c r="BO189" s="343"/>
      <c r="BP189" s="343"/>
    </row>
    <row r="190" spans="1:68" ht="242.25">
      <c r="A190" s="149"/>
      <c r="B190" s="158"/>
      <c r="C190" s="151"/>
      <c r="D190" s="150"/>
      <c r="E190" s="767"/>
      <c r="F190" s="159"/>
      <c r="G190" s="159"/>
      <c r="H190" s="159"/>
      <c r="I190" s="158" t="s">
        <v>661</v>
      </c>
      <c r="J190" s="159" t="s">
        <v>659</v>
      </c>
      <c r="K190" s="160" t="s">
        <v>916</v>
      </c>
      <c r="L190" s="160"/>
      <c r="M190" s="160" t="s">
        <v>917</v>
      </c>
      <c r="N190" s="160"/>
      <c r="O190" s="155" t="s">
        <v>654</v>
      </c>
      <c r="P190" s="160"/>
      <c r="Q190" s="160" t="s">
        <v>658</v>
      </c>
      <c r="R190" s="160"/>
      <c r="S190" s="160" t="s">
        <v>918</v>
      </c>
      <c r="T190" s="153"/>
      <c r="U190" s="160" t="s">
        <v>919</v>
      </c>
      <c r="V190" s="520"/>
      <c r="W190" s="796"/>
      <c r="X190" s="159"/>
      <c r="Y190" s="158"/>
      <c r="Z190" s="158"/>
      <c r="AA190" s="158"/>
      <c r="AB190" s="158"/>
      <c r="AC190" s="502"/>
      <c r="AD190" s="695"/>
      <c r="AE190" s="159" t="s">
        <v>920</v>
      </c>
      <c r="AF190" s="158"/>
      <c r="AG190" s="158"/>
      <c r="AH190" s="158"/>
      <c r="AI190" s="695"/>
      <c r="AJ190" s="161"/>
      <c r="AK190" s="161"/>
      <c r="AL190" s="161"/>
      <c r="AM190" s="161"/>
      <c r="AN190" s="161"/>
      <c r="AO190" s="161"/>
      <c r="AP190" s="161"/>
      <c r="AQ190" s="161"/>
      <c r="AR190" s="161"/>
      <c r="AS190" s="678"/>
      <c r="AT190" s="185"/>
      <c r="AU190" s="162"/>
      <c r="AV190" s="163"/>
      <c r="AW190" s="164"/>
      <c r="AX190" s="163"/>
      <c r="AY190" s="162"/>
      <c r="AZ190" s="164"/>
      <c r="BA190" s="163"/>
      <c r="BB190" s="695"/>
      <c r="BC190" s="165"/>
      <c r="BD190" s="522"/>
      <c r="BE190" s="522"/>
      <c r="BF190" s="522"/>
      <c r="BG190" s="522"/>
      <c r="BH190" s="522"/>
      <c r="BI190" s="522"/>
      <c r="BJ190" s="806"/>
      <c r="BK190" s="524"/>
      <c r="BL190" s="522"/>
      <c r="BN190" s="343"/>
      <c r="BO190" s="343"/>
      <c r="BP190" s="343"/>
    </row>
    <row r="191" spans="1:68" ht="15.75">
      <c r="A191" s="149">
        <v>104</v>
      </c>
      <c r="B191" s="150" t="s">
        <v>114</v>
      </c>
      <c r="C191" s="151" t="s">
        <v>921</v>
      </c>
      <c r="D191" s="150"/>
      <c r="E191" s="767"/>
      <c r="F191" s="152" t="s">
        <v>1996</v>
      </c>
      <c r="G191" s="173" t="s">
        <v>541</v>
      </c>
      <c r="H191" s="173" t="s">
        <v>541</v>
      </c>
      <c r="I191" s="150" t="s">
        <v>541</v>
      </c>
      <c r="J191" s="152">
        <v>278.34399999999999</v>
      </c>
      <c r="K191" s="166">
        <v>13.3</v>
      </c>
      <c r="L191" s="167">
        <v>10</v>
      </c>
      <c r="M191" s="156">
        <v>5.0000000000000001E-4</v>
      </c>
      <c r="N191" s="154">
        <v>10</v>
      </c>
      <c r="O191" s="156">
        <v>2.8400000000000002E-2</v>
      </c>
      <c r="P191" s="154">
        <v>25</v>
      </c>
      <c r="Q191" s="156">
        <v>1.9999999999999999E-6</v>
      </c>
      <c r="R191" s="156"/>
      <c r="S191" s="153">
        <v>4.46</v>
      </c>
      <c r="T191" s="153">
        <f>10^S191</f>
        <v>28840.315031266062</v>
      </c>
      <c r="U191" s="153">
        <v>3.25</v>
      </c>
      <c r="V191" s="520">
        <f>10^U191</f>
        <v>1778.2794100389244</v>
      </c>
      <c r="W191" s="797"/>
      <c r="X191" s="512"/>
      <c r="Y191" s="156"/>
      <c r="Z191" s="156"/>
      <c r="AA191" s="156"/>
      <c r="AB191" s="156"/>
      <c r="AC191" s="501"/>
      <c r="AD191" s="690"/>
      <c r="AE191" s="512">
        <v>5.1999999999999998E-2</v>
      </c>
      <c r="AF191" s="156"/>
      <c r="AG191" s="156"/>
      <c r="AH191" s="156"/>
      <c r="AI191" s="690"/>
      <c r="AJ191" s="153"/>
      <c r="AK191" s="153"/>
      <c r="AL191" s="153"/>
      <c r="AM191" s="153"/>
      <c r="AN191" s="153"/>
      <c r="AO191" s="153"/>
      <c r="AP191" s="153"/>
      <c r="AQ191" s="153"/>
      <c r="AR191" s="153"/>
      <c r="AS191" s="810"/>
      <c r="AT191" s="173"/>
      <c r="AU191" s="153"/>
      <c r="AV191" s="156"/>
      <c r="AW191" s="153"/>
      <c r="AX191" s="156"/>
      <c r="AY191" s="153"/>
      <c r="AZ191" s="153"/>
      <c r="BA191" s="156"/>
      <c r="BB191" s="684"/>
      <c r="BC191" s="157"/>
      <c r="BD191" s="521"/>
      <c r="BE191" s="521"/>
      <c r="BF191" s="521"/>
      <c r="BG191" s="521"/>
      <c r="BH191" s="521"/>
      <c r="BI191" s="521"/>
      <c r="BJ191" s="795"/>
      <c r="BK191" s="523"/>
      <c r="BL191" s="521"/>
      <c r="BN191" s="343"/>
      <c r="BO191" s="343"/>
      <c r="BP191" s="343"/>
    </row>
    <row r="192" spans="1:68" ht="242.25">
      <c r="A192" s="149"/>
      <c r="B192" s="158"/>
      <c r="C192" s="151"/>
      <c r="D192" s="150"/>
      <c r="E192" s="767"/>
      <c r="F192" s="159"/>
      <c r="G192" s="159"/>
      <c r="H192" s="159"/>
      <c r="I192" s="170" t="s">
        <v>541</v>
      </c>
      <c r="J192" s="159" t="s">
        <v>659</v>
      </c>
      <c r="K192" s="160" t="s">
        <v>922</v>
      </c>
      <c r="L192" s="160"/>
      <c r="M192" s="160" t="s">
        <v>923</v>
      </c>
      <c r="N192" s="160"/>
      <c r="O192" s="155" t="s">
        <v>654</v>
      </c>
      <c r="P192" s="160"/>
      <c r="Q192" s="160" t="s">
        <v>658</v>
      </c>
      <c r="R192" s="160"/>
      <c r="S192" s="160" t="s">
        <v>924</v>
      </c>
      <c r="T192" s="153"/>
      <c r="U192" s="160" t="s">
        <v>925</v>
      </c>
      <c r="V192" s="520"/>
      <c r="W192" s="798"/>
      <c r="X192" s="159"/>
      <c r="Y192" s="158"/>
      <c r="Z192" s="158"/>
      <c r="AA192" s="158"/>
      <c r="AB192" s="158"/>
      <c r="AC192" s="502"/>
      <c r="AD192" s="695"/>
      <c r="AE192" s="159" t="s">
        <v>819</v>
      </c>
      <c r="AF192" s="158"/>
      <c r="AG192" s="158"/>
      <c r="AH192" s="158"/>
      <c r="AI192" s="695"/>
      <c r="AJ192" s="161"/>
      <c r="AK192" s="161"/>
      <c r="AL192" s="161"/>
      <c r="AM192" s="161"/>
      <c r="AN192" s="161"/>
      <c r="AO192" s="161"/>
      <c r="AP192" s="161"/>
      <c r="AQ192" s="161"/>
      <c r="AR192" s="161"/>
      <c r="AS192" s="678"/>
      <c r="AT192" s="185"/>
      <c r="AU192" s="162"/>
      <c r="AV192" s="163"/>
      <c r="AW192" s="164"/>
      <c r="AX192" s="163"/>
      <c r="AY192" s="162"/>
      <c r="AZ192" s="164"/>
      <c r="BA192" s="163"/>
      <c r="BB192" s="695"/>
      <c r="BC192" s="165"/>
      <c r="BD192" s="522"/>
      <c r="BE192" s="522"/>
      <c r="BF192" s="522"/>
      <c r="BG192" s="522"/>
      <c r="BH192" s="522"/>
      <c r="BI192" s="522"/>
      <c r="BJ192" s="806"/>
      <c r="BK192" s="524"/>
      <c r="BL192" s="522"/>
      <c r="BN192" s="343"/>
      <c r="BO192" s="343"/>
      <c r="BP192" s="343"/>
    </row>
    <row r="193" spans="1:68">
      <c r="A193" s="191">
        <v>105</v>
      </c>
      <c r="B193" s="191" t="s">
        <v>371</v>
      </c>
      <c r="C193" s="486" t="s">
        <v>1368</v>
      </c>
      <c r="D193" s="191"/>
      <c r="E193" s="728"/>
      <c r="F193" s="191" t="s">
        <v>1996</v>
      </c>
      <c r="G193" s="173" t="s">
        <v>541</v>
      </c>
      <c r="H193" s="173" t="s">
        <v>541</v>
      </c>
      <c r="I193" s="191"/>
      <c r="J193" s="191"/>
      <c r="K193" s="191"/>
      <c r="L193" s="191"/>
      <c r="M193" s="191"/>
      <c r="N193" s="191"/>
      <c r="O193" s="168">
        <v>16</v>
      </c>
      <c r="P193" s="191">
        <v>25</v>
      </c>
      <c r="Q193" s="191"/>
      <c r="R193" s="191"/>
      <c r="S193" s="191"/>
      <c r="T193" s="191"/>
      <c r="U193" s="191">
        <v>3.8</v>
      </c>
      <c r="V193" s="520">
        <f>10^U193</f>
        <v>6309.5734448019384</v>
      </c>
      <c r="X193" s="516"/>
      <c r="Y193" s="191"/>
      <c r="Z193" s="191"/>
      <c r="AA193" s="191"/>
      <c r="AB193" s="191"/>
      <c r="AC193" s="486"/>
      <c r="AE193" s="516"/>
      <c r="AF193" s="191"/>
      <c r="AG193" s="191"/>
      <c r="AH193" s="191"/>
      <c r="AJ193" s="193"/>
      <c r="AK193" s="193"/>
      <c r="AL193" s="193"/>
      <c r="AM193" s="193"/>
      <c r="AN193" s="193"/>
      <c r="AO193" s="193"/>
      <c r="AP193" s="193"/>
      <c r="AQ193" s="193"/>
      <c r="AR193" s="193"/>
      <c r="AT193" s="526"/>
      <c r="AU193" s="193"/>
      <c r="AV193" s="193"/>
      <c r="AW193" s="193"/>
      <c r="AX193" s="193"/>
      <c r="AY193" s="193"/>
      <c r="AZ193" s="193"/>
      <c r="BA193" s="193"/>
      <c r="BC193" s="191"/>
      <c r="BD193" s="486"/>
      <c r="BE193" s="486"/>
      <c r="BF193" s="486"/>
      <c r="BG193" s="486"/>
      <c r="BH193" s="486"/>
      <c r="BI193" s="486"/>
      <c r="BK193" s="516"/>
      <c r="BL193" s="486"/>
      <c r="BN193" s="343"/>
      <c r="BO193" s="343"/>
      <c r="BP193" s="343"/>
    </row>
    <row r="194" spans="1:68">
      <c r="A194" s="191"/>
      <c r="B194" s="191"/>
      <c r="C194" s="486"/>
      <c r="D194" s="191"/>
      <c r="E194" s="728"/>
      <c r="F194" s="191"/>
      <c r="G194" s="191"/>
      <c r="H194" s="191"/>
      <c r="I194" s="191"/>
      <c r="J194" s="191"/>
      <c r="K194" s="191"/>
      <c r="L194" s="191"/>
      <c r="M194" s="191"/>
      <c r="N194" s="191"/>
      <c r="O194" s="168" t="s">
        <v>654</v>
      </c>
      <c r="P194" s="191"/>
      <c r="Q194" s="191"/>
      <c r="R194" s="191"/>
      <c r="S194" s="191"/>
      <c r="T194" s="191"/>
      <c r="U194" s="191" t="s">
        <v>654</v>
      </c>
      <c r="V194" s="486"/>
      <c r="X194" s="516"/>
      <c r="Y194" s="191"/>
      <c r="Z194" s="191"/>
      <c r="AA194" s="191"/>
      <c r="AB194" s="191"/>
      <c r="AC194" s="486"/>
      <c r="AE194" s="516"/>
      <c r="AF194" s="191"/>
      <c r="AG194" s="191"/>
      <c r="AH194" s="191"/>
      <c r="AJ194" s="193"/>
      <c r="AK194" s="193"/>
      <c r="AL194" s="193"/>
      <c r="AM194" s="193"/>
      <c r="AN194" s="193"/>
      <c r="AO194" s="193"/>
      <c r="AP194" s="193"/>
      <c r="AQ194" s="193"/>
      <c r="AR194" s="193"/>
      <c r="AT194" s="526"/>
      <c r="AU194" s="193"/>
      <c r="AV194" s="193"/>
      <c r="AW194" s="193"/>
      <c r="AX194" s="193"/>
      <c r="AY194" s="193"/>
      <c r="AZ194" s="193"/>
      <c r="BA194" s="193"/>
      <c r="BC194" s="191"/>
      <c r="BD194" s="486"/>
      <c r="BE194" s="486"/>
      <c r="BF194" s="486"/>
      <c r="BG194" s="486"/>
      <c r="BH194" s="486"/>
      <c r="BI194" s="486"/>
      <c r="BK194" s="516"/>
      <c r="BL194" s="486"/>
      <c r="BN194" s="343"/>
      <c r="BO194" s="343"/>
      <c r="BP194" s="343"/>
    </row>
    <row r="195" spans="1:68">
      <c r="A195" s="191">
        <v>106</v>
      </c>
      <c r="B195" s="191" t="s">
        <v>373</v>
      </c>
      <c r="C195" s="486" t="s">
        <v>1369</v>
      </c>
      <c r="D195" s="191"/>
      <c r="E195" s="728"/>
      <c r="F195" s="191" t="s">
        <v>1996</v>
      </c>
      <c r="G195" s="173" t="s">
        <v>541</v>
      </c>
      <c r="H195" s="173" t="s">
        <v>541</v>
      </c>
      <c r="I195" s="191"/>
      <c r="J195" s="191"/>
      <c r="K195" s="191"/>
      <c r="L195" s="191"/>
      <c r="M195" s="191"/>
      <c r="N195" s="191"/>
      <c r="O195" s="168">
        <v>14.16</v>
      </c>
      <c r="P195" s="191">
        <v>25</v>
      </c>
      <c r="Q195" s="191"/>
      <c r="R195" s="191"/>
      <c r="S195" s="191"/>
      <c r="T195" s="191"/>
      <c r="U195" s="191">
        <v>3.73</v>
      </c>
      <c r="V195" s="520">
        <f>10^U195</f>
        <v>5370.3179637025269</v>
      </c>
      <c r="X195" s="516"/>
      <c r="Y195" s="191"/>
      <c r="Z195" s="191"/>
      <c r="AA195" s="191"/>
      <c r="AB195" s="191"/>
      <c r="AC195" s="486"/>
      <c r="AE195" s="516"/>
      <c r="AF195" s="191"/>
      <c r="AG195" s="191"/>
      <c r="AH195" s="191"/>
      <c r="AJ195" s="193"/>
      <c r="AK195" s="193"/>
      <c r="AL195" s="193"/>
      <c r="AM195" s="193"/>
      <c r="AN195" s="193"/>
      <c r="AO195" s="193"/>
      <c r="AP195" s="193"/>
      <c r="AQ195" s="193"/>
      <c r="AR195" s="193"/>
      <c r="AT195" s="526"/>
      <c r="AU195" s="193"/>
      <c r="AV195" s="193"/>
      <c r="AW195" s="193"/>
      <c r="AX195" s="193"/>
      <c r="AY195" s="193"/>
      <c r="AZ195" s="193"/>
      <c r="BA195" s="193"/>
      <c r="BC195" s="191"/>
      <c r="BD195" s="486"/>
      <c r="BE195" s="486"/>
      <c r="BF195" s="486"/>
      <c r="BG195" s="486"/>
      <c r="BH195" s="486"/>
      <c r="BI195" s="486"/>
      <c r="BK195" s="516"/>
      <c r="BL195" s="486"/>
      <c r="BN195" s="343"/>
      <c r="BO195" s="343"/>
      <c r="BP195" s="343"/>
    </row>
    <row r="196" spans="1:68" ht="38.25">
      <c r="A196" s="191"/>
      <c r="B196" s="191"/>
      <c r="C196" s="486"/>
      <c r="D196" s="191"/>
      <c r="E196" s="728"/>
      <c r="F196" s="191"/>
      <c r="G196" s="191"/>
      <c r="H196" s="191"/>
      <c r="I196" s="191"/>
      <c r="J196" s="191"/>
      <c r="K196" s="191"/>
      <c r="L196" s="191"/>
      <c r="M196" s="191"/>
      <c r="N196" s="191"/>
      <c r="O196" s="168" t="s">
        <v>654</v>
      </c>
      <c r="P196" s="191"/>
      <c r="Q196" s="191"/>
      <c r="R196" s="191"/>
      <c r="S196" s="149"/>
      <c r="T196" s="191"/>
      <c r="U196" s="149" t="s">
        <v>1370</v>
      </c>
      <c r="V196" s="486"/>
      <c r="X196" s="516"/>
      <c r="Y196" s="191"/>
      <c r="Z196" s="191"/>
      <c r="AA196" s="191"/>
      <c r="AB196" s="191"/>
      <c r="AC196" s="486"/>
      <c r="AE196" s="516"/>
      <c r="AF196" s="191"/>
      <c r="AG196" s="191"/>
      <c r="AH196" s="191"/>
      <c r="AJ196" s="193"/>
      <c r="AK196" s="193"/>
      <c r="AL196" s="193"/>
      <c r="AM196" s="193"/>
      <c r="AN196" s="193"/>
      <c r="AO196" s="193"/>
      <c r="AP196" s="193"/>
      <c r="AQ196" s="193"/>
      <c r="AR196" s="193"/>
      <c r="AT196" s="526"/>
      <c r="AU196" s="193"/>
      <c r="AV196" s="193"/>
      <c r="AW196" s="193"/>
      <c r="AX196" s="193"/>
      <c r="AY196" s="193"/>
      <c r="AZ196" s="193"/>
      <c r="BA196" s="193"/>
      <c r="BC196" s="191"/>
      <c r="BD196" s="486"/>
      <c r="BE196" s="486"/>
      <c r="BF196" s="486"/>
      <c r="BG196" s="486"/>
      <c r="BH196" s="486"/>
      <c r="BI196" s="486"/>
      <c r="BK196" s="516"/>
      <c r="BL196" s="486"/>
      <c r="BN196" s="343"/>
      <c r="BO196" s="343"/>
      <c r="BP196" s="343"/>
    </row>
    <row r="197" spans="1:68">
      <c r="A197" s="149">
        <v>107</v>
      </c>
      <c r="B197" s="150" t="s">
        <v>76</v>
      </c>
      <c r="C197" s="151" t="s">
        <v>926</v>
      </c>
      <c r="D197" s="150"/>
      <c r="E197" s="767"/>
      <c r="F197" s="152" t="s">
        <v>1997</v>
      </c>
      <c r="G197" s="173" t="s">
        <v>541</v>
      </c>
      <c r="H197" s="173" t="s">
        <v>541</v>
      </c>
      <c r="I197" s="150" t="s">
        <v>541</v>
      </c>
      <c r="J197" s="152">
        <v>76.141000000000005</v>
      </c>
      <c r="K197" s="148">
        <v>2100</v>
      </c>
      <c r="L197" s="167">
        <v>20</v>
      </c>
      <c r="M197" s="153">
        <v>27921</v>
      </c>
      <c r="N197" s="154">
        <v>10</v>
      </c>
      <c r="O197" s="156">
        <v>1577</v>
      </c>
      <c r="P197" s="154">
        <v>10</v>
      </c>
      <c r="Q197" s="156"/>
      <c r="R197" s="156"/>
      <c r="S197" s="153">
        <v>1.94</v>
      </c>
      <c r="T197" s="153">
        <f>10^S197</f>
        <v>87.096358995608071</v>
      </c>
      <c r="U197" s="153">
        <v>1.8</v>
      </c>
      <c r="V197" s="520">
        <f>10^U197</f>
        <v>63.095734448019364</v>
      </c>
      <c r="W197" s="680"/>
      <c r="X197" s="512"/>
      <c r="Y197" s="156"/>
      <c r="Z197" s="156"/>
      <c r="AA197" s="156"/>
      <c r="AB197" s="156"/>
      <c r="AC197" s="501"/>
      <c r="AD197" s="690"/>
      <c r="AE197" s="512">
        <v>0.1</v>
      </c>
      <c r="AF197" s="156">
        <v>0.7</v>
      </c>
      <c r="AG197" s="150"/>
      <c r="AH197" s="150"/>
      <c r="AI197" s="684"/>
      <c r="AJ197" s="153"/>
      <c r="AK197" s="153"/>
      <c r="AL197" s="153"/>
      <c r="AM197" s="153"/>
      <c r="AN197" s="153"/>
      <c r="AO197" s="153"/>
      <c r="AP197" s="153"/>
      <c r="AQ197" s="153"/>
      <c r="AR197" s="153"/>
      <c r="AS197" s="810"/>
      <c r="AT197" s="173"/>
      <c r="AU197" s="153"/>
      <c r="AV197" s="156"/>
      <c r="AW197" s="153"/>
      <c r="AX197" s="156"/>
      <c r="AY197" s="153"/>
      <c r="AZ197" s="153"/>
      <c r="BA197" s="156"/>
      <c r="BB197" s="684"/>
      <c r="BC197" s="157"/>
      <c r="BD197" s="521"/>
      <c r="BE197" s="521"/>
      <c r="BF197" s="521"/>
      <c r="BG197" s="521"/>
      <c r="BH197" s="521"/>
      <c r="BI197" s="521"/>
      <c r="BJ197" s="795"/>
      <c r="BK197" s="523"/>
      <c r="BL197" s="521"/>
      <c r="BN197" s="343"/>
      <c r="BO197" s="343"/>
      <c r="BP197" s="343"/>
    </row>
    <row r="198" spans="1:68" ht="114.75">
      <c r="A198" s="149"/>
      <c r="B198" s="158"/>
      <c r="C198" s="151"/>
      <c r="D198" s="150"/>
      <c r="E198" s="767"/>
      <c r="F198" s="159"/>
      <c r="G198" s="159"/>
      <c r="H198" s="159"/>
      <c r="I198" s="158" t="s">
        <v>661</v>
      </c>
      <c r="J198" s="159" t="s">
        <v>659</v>
      </c>
      <c r="K198" s="158" t="s">
        <v>927</v>
      </c>
      <c r="L198" s="160"/>
      <c r="M198" s="160" t="s">
        <v>917</v>
      </c>
      <c r="N198" s="160"/>
      <c r="O198" s="155" t="s">
        <v>654</v>
      </c>
      <c r="P198" s="160"/>
      <c r="Q198" s="160"/>
      <c r="R198" s="160"/>
      <c r="S198" s="158" t="s">
        <v>928</v>
      </c>
      <c r="T198" s="153"/>
      <c r="U198" s="160" t="s">
        <v>929</v>
      </c>
      <c r="V198" s="520"/>
      <c r="W198" s="796"/>
      <c r="X198" s="159"/>
      <c r="Y198" s="158"/>
      <c r="Z198" s="158"/>
      <c r="AA198" s="158"/>
      <c r="AB198" s="158"/>
      <c r="AC198" s="502"/>
      <c r="AD198" s="695"/>
      <c r="AE198" s="159" t="s">
        <v>930</v>
      </c>
      <c r="AF198" s="158" t="s">
        <v>931</v>
      </c>
      <c r="AG198" s="158"/>
      <c r="AH198" s="158"/>
      <c r="AI198" s="695"/>
      <c r="AJ198" s="161"/>
      <c r="AK198" s="161"/>
      <c r="AL198" s="161"/>
      <c r="AM198" s="161"/>
      <c r="AN198" s="161"/>
      <c r="AO198" s="161"/>
      <c r="AP198" s="161"/>
      <c r="AQ198" s="161"/>
      <c r="AR198" s="161"/>
      <c r="AS198" s="678"/>
      <c r="AT198" s="185"/>
      <c r="AU198" s="162"/>
      <c r="AV198" s="163"/>
      <c r="AW198" s="164"/>
      <c r="AX198" s="163"/>
      <c r="AY198" s="162"/>
      <c r="AZ198" s="164"/>
      <c r="BA198" s="163"/>
      <c r="BB198" s="695"/>
      <c r="BC198" s="165"/>
      <c r="BD198" s="522"/>
      <c r="BE198" s="522"/>
      <c r="BF198" s="522"/>
      <c r="BG198" s="522"/>
      <c r="BH198" s="522"/>
      <c r="BI198" s="522"/>
      <c r="BJ198" s="806"/>
      <c r="BK198" s="524"/>
      <c r="BL198" s="522"/>
      <c r="BN198" s="343"/>
      <c r="BO198" s="343"/>
      <c r="BP198" s="343"/>
    </row>
    <row r="199" spans="1:68" ht="15.75">
      <c r="A199" s="149">
        <v>108</v>
      </c>
      <c r="B199" s="150" t="s">
        <v>50</v>
      </c>
      <c r="C199" s="151" t="s">
        <v>932</v>
      </c>
      <c r="D199" s="150"/>
      <c r="E199" s="767"/>
      <c r="F199" s="152" t="s">
        <v>1996</v>
      </c>
      <c r="G199" s="173" t="s">
        <v>541</v>
      </c>
      <c r="H199" s="173" t="s">
        <v>541</v>
      </c>
      <c r="I199" s="150" t="s">
        <v>541</v>
      </c>
      <c r="J199" s="152">
        <v>147.43100000000001</v>
      </c>
      <c r="K199" s="148">
        <v>1400</v>
      </c>
      <c r="L199" s="167">
        <v>10</v>
      </c>
      <c r="M199" s="156">
        <v>183</v>
      </c>
      <c r="N199" s="154">
        <v>10</v>
      </c>
      <c r="O199" s="156">
        <v>22.74</v>
      </c>
      <c r="P199" s="154">
        <v>10</v>
      </c>
      <c r="Q199" s="156"/>
      <c r="R199" s="156"/>
      <c r="S199" s="153">
        <v>2.29</v>
      </c>
      <c r="T199" s="153">
        <f>10^S199</f>
        <v>194.98445997580458</v>
      </c>
      <c r="U199" s="153">
        <v>1.93</v>
      </c>
      <c r="V199" s="520">
        <f>10^U199</f>
        <v>85.113803820237663</v>
      </c>
      <c r="W199" s="795"/>
      <c r="X199" s="512"/>
      <c r="Y199" s="156"/>
      <c r="Z199" s="156"/>
      <c r="AA199" s="156"/>
      <c r="AB199" s="156"/>
      <c r="AC199" s="501"/>
      <c r="AD199" s="690"/>
      <c r="AE199" s="512">
        <v>4.0000000000000001E-3</v>
      </c>
      <c r="AF199" s="156">
        <v>2.9999999999999997E-4</v>
      </c>
      <c r="AG199" s="156">
        <v>3.3299999999999998E-7</v>
      </c>
      <c r="AH199" s="150"/>
      <c r="AI199" s="684"/>
      <c r="AJ199" s="153"/>
      <c r="AK199" s="153"/>
      <c r="AL199" s="153"/>
      <c r="AM199" s="153"/>
      <c r="AN199" s="153"/>
      <c r="AO199" s="153"/>
      <c r="AP199" s="153"/>
      <c r="AQ199" s="153"/>
      <c r="AR199" s="153"/>
      <c r="AS199" s="810"/>
      <c r="AT199" s="173"/>
      <c r="AU199" s="153"/>
      <c r="AV199" s="156"/>
      <c r="AW199" s="153"/>
      <c r="AX199" s="156"/>
      <c r="AY199" s="153"/>
      <c r="AZ199" s="153"/>
      <c r="BA199" s="156"/>
      <c r="BB199" s="684"/>
      <c r="BC199" s="157"/>
      <c r="BD199" s="521"/>
      <c r="BE199" s="521"/>
      <c r="BF199" s="521"/>
      <c r="BG199" s="521"/>
      <c r="BH199" s="521"/>
      <c r="BI199" s="521"/>
      <c r="BJ199" s="795"/>
      <c r="BK199" s="523"/>
      <c r="BL199" s="521"/>
      <c r="BN199" s="343"/>
      <c r="BO199" s="343"/>
      <c r="BP199" s="343"/>
    </row>
    <row r="200" spans="1:68" ht="114.75">
      <c r="A200" s="149"/>
      <c r="B200" s="158"/>
      <c r="C200" s="151"/>
      <c r="D200" s="150"/>
      <c r="E200" s="767"/>
      <c r="F200" s="159"/>
      <c r="G200" s="159"/>
      <c r="H200" s="159"/>
      <c r="I200" s="158" t="s">
        <v>661</v>
      </c>
      <c r="J200" s="159" t="s">
        <v>659</v>
      </c>
      <c r="K200" s="158" t="s">
        <v>933</v>
      </c>
      <c r="L200" s="160"/>
      <c r="M200" s="160" t="s">
        <v>934</v>
      </c>
      <c r="N200" s="160"/>
      <c r="O200" s="155" t="s">
        <v>654</v>
      </c>
      <c r="P200" s="160"/>
      <c r="Q200" s="160"/>
      <c r="R200" s="160"/>
      <c r="S200" s="160" t="s">
        <v>935</v>
      </c>
      <c r="T200" s="153"/>
      <c r="U200" s="160" t="s">
        <v>936</v>
      </c>
      <c r="V200" s="520"/>
      <c r="W200" s="796"/>
      <c r="X200" s="159"/>
      <c r="Y200" s="158"/>
      <c r="Z200" s="158"/>
      <c r="AA200" s="158"/>
      <c r="AB200" s="158"/>
      <c r="AC200" s="502"/>
      <c r="AD200" s="695"/>
      <c r="AE200" s="159" t="s">
        <v>937</v>
      </c>
      <c r="AF200" s="158" t="s">
        <v>937</v>
      </c>
      <c r="AG200" s="158" t="s">
        <v>938</v>
      </c>
      <c r="AH200" s="158"/>
      <c r="AI200" s="695"/>
      <c r="AJ200" s="161"/>
      <c r="AK200" s="161"/>
      <c r="AL200" s="161"/>
      <c r="AM200" s="161"/>
      <c r="AN200" s="161"/>
      <c r="AO200" s="161"/>
      <c r="AP200" s="161"/>
      <c r="AQ200" s="161"/>
      <c r="AR200" s="161"/>
      <c r="AS200" s="678"/>
      <c r="AT200" s="185"/>
      <c r="AU200" s="162"/>
      <c r="AV200" s="163"/>
      <c r="AW200" s="164"/>
      <c r="AX200" s="163"/>
      <c r="AY200" s="162"/>
      <c r="AZ200" s="164"/>
      <c r="BA200" s="163"/>
      <c r="BB200" s="695"/>
      <c r="BC200" s="165"/>
      <c r="BD200" s="522"/>
      <c r="BE200" s="522"/>
      <c r="BF200" s="522"/>
      <c r="BG200" s="522"/>
      <c r="BH200" s="522"/>
      <c r="BI200" s="522"/>
      <c r="BJ200" s="806"/>
      <c r="BK200" s="524"/>
      <c r="BL200" s="522"/>
      <c r="BN200" s="343"/>
      <c r="BO200" s="343"/>
      <c r="BP200" s="343"/>
    </row>
    <row r="201" spans="1:68">
      <c r="A201" s="191">
        <v>109</v>
      </c>
      <c r="B201" s="191" t="s">
        <v>374</v>
      </c>
      <c r="C201" s="486" t="s">
        <v>800</v>
      </c>
      <c r="D201" s="191"/>
      <c r="E201" s="728"/>
      <c r="F201" s="191" t="s">
        <v>1996</v>
      </c>
      <c r="G201" s="173" t="s">
        <v>541</v>
      </c>
      <c r="H201" s="173" t="s">
        <v>541</v>
      </c>
      <c r="I201" s="191"/>
      <c r="J201" s="191"/>
      <c r="K201" s="191"/>
      <c r="L201" s="191"/>
      <c r="M201" s="191"/>
      <c r="N201" s="191"/>
      <c r="O201" s="192">
        <v>4.1200000000000001E-2</v>
      </c>
      <c r="P201" s="191">
        <v>25</v>
      </c>
      <c r="Q201" s="191"/>
      <c r="R201" s="191"/>
      <c r="S201" s="191"/>
      <c r="T201" s="191"/>
      <c r="U201" s="191"/>
      <c r="V201" s="486"/>
      <c r="X201" s="516"/>
      <c r="Y201" s="191"/>
      <c r="Z201" s="191"/>
      <c r="AA201" s="191"/>
      <c r="AB201" s="191"/>
      <c r="AC201" s="486"/>
      <c r="AE201" s="516"/>
      <c r="AF201" s="191"/>
      <c r="AG201" s="191"/>
      <c r="AH201" s="191"/>
      <c r="AJ201" s="193"/>
      <c r="AK201" s="193"/>
      <c r="AL201" s="193"/>
      <c r="AM201" s="193"/>
      <c r="AN201" s="193"/>
      <c r="AO201" s="193"/>
      <c r="AP201" s="193"/>
      <c r="AQ201" s="193"/>
      <c r="AR201" s="193"/>
      <c r="AT201" s="526"/>
      <c r="AU201" s="193"/>
      <c r="AV201" s="193"/>
      <c r="AW201" s="193"/>
      <c r="AX201" s="193"/>
      <c r="AY201" s="193"/>
      <c r="AZ201" s="193"/>
      <c r="BA201" s="193"/>
      <c r="BC201" s="191"/>
      <c r="BD201" s="486"/>
      <c r="BE201" s="486"/>
      <c r="BF201" s="486"/>
      <c r="BG201" s="486"/>
      <c r="BH201" s="486"/>
      <c r="BI201" s="486"/>
      <c r="BK201" s="516"/>
      <c r="BL201" s="486"/>
      <c r="BN201" s="343"/>
      <c r="BO201" s="343"/>
      <c r="BP201" s="343"/>
    </row>
    <row r="202" spans="1:68">
      <c r="A202" s="191"/>
      <c r="B202" s="191"/>
      <c r="C202" s="486"/>
      <c r="D202" s="191"/>
      <c r="E202" s="728"/>
      <c r="F202" s="191"/>
      <c r="G202" s="191"/>
      <c r="H202" s="191"/>
      <c r="I202" s="191"/>
      <c r="J202" s="191"/>
      <c r="K202" s="191"/>
      <c r="L202" s="191"/>
      <c r="M202" s="191"/>
      <c r="N202" s="191"/>
      <c r="O202" s="168" t="s">
        <v>654</v>
      </c>
      <c r="P202" s="191"/>
      <c r="Q202" s="191"/>
      <c r="R202" s="191"/>
      <c r="S202" s="191"/>
      <c r="T202" s="191"/>
      <c r="U202" s="191"/>
      <c r="V202" s="486"/>
      <c r="X202" s="516"/>
      <c r="Y202" s="191"/>
      <c r="Z202" s="191"/>
      <c r="AA202" s="191"/>
      <c r="AB202" s="191"/>
      <c r="AC202" s="486"/>
      <c r="AE202" s="516"/>
      <c r="AF202" s="191"/>
      <c r="AG202" s="191"/>
      <c r="AH202" s="191"/>
      <c r="AJ202" s="193"/>
      <c r="AK202" s="193"/>
      <c r="AL202" s="193"/>
      <c r="AM202" s="193"/>
      <c r="AN202" s="193"/>
      <c r="AO202" s="193"/>
      <c r="AP202" s="193"/>
      <c r="AQ202" s="193"/>
      <c r="AR202" s="193"/>
      <c r="AT202" s="526"/>
      <c r="AU202" s="193"/>
      <c r="AV202" s="193"/>
      <c r="AW202" s="193"/>
      <c r="AX202" s="193"/>
      <c r="AY202" s="193"/>
      <c r="AZ202" s="193"/>
      <c r="BA202" s="193"/>
      <c r="BC202" s="191"/>
      <c r="BD202" s="486"/>
      <c r="BE202" s="486"/>
      <c r="BF202" s="486"/>
      <c r="BG202" s="486"/>
      <c r="BH202" s="486"/>
      <c r="BI202" s="486"/>
      <c r="BK202" s="516"/>
      <c r="BL202" s="486"/>
      <c r="BN202" s="343"/>
      <c r="BO202" s="343"/>
      <c r="BP202" s="343"/>
    </row>
    <row r="203" spans="1:68" s="772" customFormat="1" ht="15.75">
      <c r="A203" s="681">
        <v>110</v>
      </c>
      <c r="B203" s="682" t="s">
        <v>52</v>
      </c>
      <c r="C203" s="683" t="s">
        <v>939</v>
      </c>
      <c r="D203" s="682" t="s">
        <v>2063</v>
      </c>
      <c r="E203" s="767"/>
      <c r="F203" s="685" t="s">
        <v>1996</v>
      </c>
      <c r="G203" s="709" t="s">
        <v>1997</v>
      </c>
      <c r="H203" s="709" t="s">
        <v>541</v>
      </c>
      <c r="I203" s="682" t="s">
        <v>541</v>
      </c>
      <c r="J203" s="685">
        <v>236.333</v>
      </c>
      <c r="K203" s="679">
        <v>1230</v>
      </c>
      <c r="L203" s="702">
        <v>20</v>
      </c>
      <c r="M203" s="689">
        <f>0.58*133.3224</f>
        <v>77.32699199999999</v>
      </c>
      <c r="N203" s="687">
        <v>20</v>
      </c>
      <c r="O203" s="689">
        <f>0.000147*101325</f>
        <v>14.894774999999999</v>
      </c>
      <c r="P203" s="687">
        <v>20</v>
      </c>
      <c r="Q203" s="689" t="s">
        <v>541</v>
      </c>
      <c r="R203" s="689" t="s">
        <v>541</v>
      </c>
      <c r="S203" s="686">
        <v>2.96</v>
      </c>
      <c r="T203" s="686">
        <f>10^S203</f>
        <v>912.01083935590987</v>
      </c>
      <c r="U203" s="686">
        <v>2.08</v>
      </c>
      <c r="V203" s="790">
        <f>10^U203</f>
        <v>120.22644346174135</v>
      </c>
      <c r="W203" s="795"/>
      <c r="X203" s="780">
        <v>2.0000000000000001E-4</v>
      </c>
      <c r="Y203" s="689">
        <v>2.0000000000000001E-4</v>
      </c>
      <c r="Z203" s="689">
        <v>2.0000000000000001E-4</v>
      </c>
      <c r="AA203" s="689">
        <v>6</v>
      </c>
      <c r="AB203" s="689">
        <v>7</v>
      </c>
      <c r="AC203" s="775">
        <v>7</v>
      </c>
      <c r="AD203" s="690"/>
      <c r="AE203" s="780"/>
      <c r="AF203" s="689"/>
      <c r="AG203" s="689"/>
      <c r="AH203" s="689"/>
      <c r="AI203" s="690"/>
      <c r="AJ203" s="686"/>
      <c r="AK203" s="686"/>
      <c r="AL203" s="686"/>
      <c r="AM203" s="686"/>
      <c r="AN203" s="686"/>
      <c r="AO203" s="686"/>
      <c r="AP203" s="686"/>
      <c r="AQ203" s="686"/>
      <c r="AR203" s="686"/>
      <c r="AS203" s="810"/>
      <c r="AT203" s="709"/>
      <c r="AU203" s="686"/>
      <c r="AV203" s="689"/>
      <c r="AW203" s="686"/>
      <c r="AX203" s="689"/>
      <c r="AY203" s="686"/>
      <c r="AZ203" s="686"/>
      <c r="BA203" s="689"/>
      <c r="BB203" s="684"/>
      <c r="BC203" s="691"/>
      <c r="BD203" s="799"/>
      <c r="BE203" s="799"/>
      <c r="BF203" s="799"/>
      <c r="BG203" s="799"/>
      <c r="BH203" s="799">
        <v>0</v>
      </c>
      <c r="BI203" s="799">
        <v>0</v>
      </c>
      <c r="BJ203" s="795"/>
      <c r="BK203" s="803"/>
      <c r="BL203" s="799"/>
      <c r="BM203" s="802"/>
      <c r="BN203" s="869"/>
      <c r="BO203" s="869">
        <v>0.25</v>
      </c>
      <c r="BP203" s="869">
        <v>0.9</v>
      </c>
    </row>
    <row r="204" spans="1:68" s="772" customFormat="1" ht="51">
      <c r="A204" s="681"/>
      <c r="B204" s="692"/>
      <c r="C204" s="683"/>
      <c r="D204" s="682"/>
      <c r="E204" s="767"/>
      <c r="F204" s="693"/>
      <c r="G204" s="693"/>
      <c r="H204" s="693"/>
      <c r="I204" s="692" t="s">
        <v>661</v>
      </c>
      <c r="J204" s="693" t="s">
        <v>2064</v>
      </c>
      <c r="K204" s="692" t="s">
        <v>2065</v>
      </c>
      <c r="L204" s="694" t="s">
        <v>2030</v>
      </c>
      <c r="M204" s="694" t="s">
        <v>2066</v>
      </c>
      <c r="N204" s="694" t="s">
        <v>2030</v>
      </c>
      <c r="O204" s="687" t="s">
        <v>2067</v>
      </c>
      <c r="P204" s="694" t="s">
        <v>2030</v>
      </c>
      <c r="Q204" s="694" t="s">
        <v>2012</v>
      </c>
      <c r="R204" s="694"/>
      <c r="S204" s="694" t="s">
        <v>2068</v>
      </c>
      <c r="T204" s="686"/>
      <c r="U204" s="694" t="s">
        <v>2069</v>
      </c>
      <c r="V204" s="790"/>
      <c r="W204" s="796"/>
      <c r="X204" s="693" t="s">
        <v>2125</v>
      </c>
      <c r="Y204" s="692" t="s">
        <v>2463</v>
      </c>
      <c r="Z204" s="692" t="s">
        <v>2463</v>
      </c>
      <c r="AA204" s="692" t="s">
        <v>2126</v>
      </c>
      <c r="AB204" s="692" t="s">
        <v>2127</v>
      </c>
      <c r="AC204" s="776" t="s">
        <v>2127</v>
      </c>
      <c r="AD204" s="695"/>
      <c r="AE204" s="693"/>
      <c r="AF204" s="692"/>
      <c r="AG204" s="692"/>
      <c r="AH204" s="692"/>
      <c r="AI204" s="695"/>
      <c r="AJ204" s="696" t="s">
        <v>2141</v>
      </c>
      <c r="AK204" s="697" t="s">
        <v>2141</v>
      </c>
      <c r="AL204" s="697" t="s">
        <v>2141</v>
      </c>
      <c r="AM204" s="697" t="s">
        <v>2141</v>
      </c>
      <c r="AN204" s="697" t="s">
        <v>2141</v>
      </c>
      <c r="AO204" s="697" t="s">
        <v>2141</v>
      </c>
      <c r="AP204" s="697" t="s">
        <v>2141</v>
      </c>
      <c r="AQ204" s="697" t="s">
        <v>2141</v>
      </c>
      <c r="AR204" s="697" t="s">
        <v>2141</v>
      </c>
      <c r="AS204" s="678"/>
      <c r="AT204" s="719"/>
      <c r="AU204" s="697"/>
      <c r="AV204" s="698"/>
      <c r="AW204" s="699"/>
      <c r="AX204" s="698"/>
      <c r="AY204" s="697"/>
      <c r="AZ204" s="699"/>
      <c r="BA204" s="698"/>
      <c r="BB204" s="695"/>
      <c r="BC204" s="871" t="s">
        <v>2141</v>
      </c>
      <c r="BD204" s="871" t="s">
        <v>2141</v>
      </c>
      <c r="BE204" s="871" t="s">
        <v>2141</v>
      </c>
      <c r="BF204" s="871" t="s">
        <v>2141</v>
      </c>
      <c r="BG204" s="871" t="s">
        <v>2141</v>
      </c>
      <c r="BH204" s="872" t="s">
        <v>2158</v>
      </c>
      <c r="BI204" s="872" t="s">
        <v>2158</v>
      </c>
      <c r="BJ204" s="806"/>
      <c r="BK204" s="804"/>
      <c r="BL204" s="800"/>
      <c r="BM204" s="802"/>
      <c r="BN204" s="869" t="s">
        <v>2146</v>
      </c>
      <c r="BO204" s="869" t="s">
        <v>2147</v>
      </c>
      <c r="BP204" s="873" t="s">
        <v>2144</v>
      </c>
    </row>
    <row r="205" spans="1:68" ht="15.75">
      <c r="A205" s="149">
        <v>111</v>
      </c>
      <c r="B205" s="150" t="s">
        <v>68</v>
      </c>
      <c r="C205" s="151" t="s">
        <v>1027</v>
      </c>
      <c r="D205" s="150"/>
      <c r="E205" s="767"/>
      <c r="F205" s="152" t="s">
        <v>1996</v>
      </c>
      <c r="G205" s="173" t="s">
        <v>541</v>
      </c>
      <c r="H205" s="173" t="s">
        <v>541</v>
      </c>
      <c r="I205" s="150" t="s">
        <v>541</v>
      </c>
      <c r="J205" s="152">
        <v>50.488</v>
      </c>
      <c r="K205" s="153">
        <v>9113</v>
      </c>
      <c r="L205" s="154">
        <v>10</v>
      </c>
      <c r="M205" s="156">
        <v>363169.44640000002</v>
      </c>
      <c r="N205" s="154">
        <v>10</v>
      </c>
      <c r="O205" s="156">
        <v>558.72955899999999</v>
      </c>
      <c r="P205" s="154">
        <v>10</v>
      </c>
      <c r="Q205" s="156"/>
      <c r="R205" s="156"/>
      <c r="S205" s="153">
        <v>0.91108313280465036</v>
      </c>
      <c r="T205" s="153">
        <f>10^S205</f>
        <v>8.1486024993256265</v>
      </c>
      <c r="U205" s="153">
        <v>0.70176491790342443</v>
      </c>
      <c r="V205" s="520">
        <f>10^U205</f>
        <v>5.0322813940492725</v>
      </c>
      <c r="W205" s="684"/>
      <c r="X205" s="512"/>
      <c r="Y205" s="156"/>
      <c r="Z205" s="156"/>
      <c r="AA205" s="156"/>
      <c r="AB205" s="156"/>
      <c r="AC205" s="501"/>
      <c r="AD205" s="690"/>
      <c r="AE205" s="512"/>
      <c r="AF205" s="156">
        <v>0.09</v>
      </c>
      <c r="AG205" s="156"/>
      <c r="AH205" s="156"/>
      <c r="AI205" s="690"/>
      <c r="AJ205" s="153"/>
      <c r="AK205" s="153"/>
      <c r="AL205" s="153"/>
      <c r="AM205" s="153"/>
      <c r="AN205" s="153"/>
      <c r="AO205" s="153"/>
      <c r="AP205" s="153"/>
      <c r="AQ205" s="153"/>
      <c r="AR205" s="153"/>
      <c r="AS205" s="810"/>
      <c r="AT205" s="173"/>
      <c r="AU205" s="153"/>
      <c r="AV205" s="156"/>
      <c r="AW205" s="153"/>
      <c r="AX205" s="156"/>
      <c r="AY205" s="153"/>
      <c r="AZ205" s="153"/>
      <c r="BA205" s="156"/>
      <c r="BB205" s="684"/>
      <c r="BC205" s="157"/>
      <c r="BD205" s="521"/>
      <c r="BE205" s="521"/>
      <c r="BF205" s="521"/>
      <c r="BG205" s="521"/>
      <c r="BH205" s="521"/>
      <c r="BI205" s="521"/>
      <c r="BJ205" s="795"/>
      <c r="BK205" s="523"/>
      <c r="BL205" s="521"/>
      <c r="BN205" s="343"/>
      <c r="BO205" s="343"/>
      <c r="BP205" s="343"/>
    </row>
    <row r="206" spans="1:68" ht="153">
      <c r="A206" s="149"/>
      <c r="B206" s="158"/>
      <c r="C206" s="151"/>
      <c r="D206" s="150"/>
      <c r="E206" s="767"/>
      <c r="F206" s="159"/>
      <c r="G206" s="159"/>
      <c r="H206" s="159"/>
      <c r="I206" s="170" t="s">
        <v>541</v>
      </c>
      <c r="J206" s="159" t="s">
        <v>708</v>
      </c>
      <c r="K206" s="160" t="s">
        <v>1028</v>
      </c>
      <c r="L206" s="160"/>
      <c r="M206" s="160" t="s">
        <v>1029</v>
      </c>
      <c r="N206" s="160"/>
      <c r="O206" s="155" t="s">
        <v>654</v>
      </c>
      <c r="P206" s="160"/>
      <c r="Q206" s="158" t="s">
        <v>715</v>
      </c>
      <c r="R206" s="158"/>
      <c r="S206" s="160" t="s">
        <v>1030</v>
      </c>
      <c r="T206" s="153"/>
      <c r="U206" s="160" t="s">
        <v>1031</v>
      </c>
      <c r="V206" s="520"/>
      <c r="W206" s="695"/>
      <c r="X206" s="159"/>
      <c r="Y206" s="158"/>
      <c r="Z206" s="158"/>
      <c r="AA206" s="158"/>
      <c r="AB206" s="158"/>
      <c r="AC206" s="502"/>
      <c r="AD206" s="695"/>
      <c r="AE206" s="159"/>
      <c r="AF206" s="158" t="s">
        <v>716</v>
      </c>
      <c r="AG206" s="158"/>
      <c r="AH206" s="158"/>
      <c r="AI206" s="695"/>
      <c r="AJ206" s="161"/>
      <c r="AK206" s="161"/>
      <c r="AL206" s="161"/>
      <c r="AM206" s="161"/>
      <c r="AN206" s="161"/>
      <c r="AO206" s="161"/>
      <c r="AP206" s="161"/>
      <c r="AQ206" s="161"/>
      <c r="AR206" s="161"/>
      <c r="AS206" s="678"/>
      <c r="AT206" s="185"/>
      <c r="AU206" s="162"/>
      <c r="AV206" s="163"/>
      <c r="AW206" s="164"/>
      <c r="AX206" s="163"/>
      <c r="AY206" s="162"/>
      <c r="AZ206" s="164"/>
      <c r="BA206" s="163"/>
      <c r="BB206" s="695"/>
      <c r="BC206" s="165"/>
      <c r="BD206" s="522"/>
      <c r="BE206" s="522"/>
      <c r="BF206" s="522"/>
      <c r="BG206" s="522"/>
      <c r="BH206" s="522"/>
      <c r="BI206" s="522"/>
      <c r="BJ206" s="806"/>
      <c r="BK206" s="524"/>
      <c r="BL206" s="522"/>
      <c r="BN206" s="343"/>
      <c r="BO206" s="343"/>
      <c r="BP206" s="343"/>
    </row>
    <row r="207" spans="1:68">
      <c r="A207" s="149">
        <v>113</v>
      </c>
      <c r="B207" s="150" t="s">
        <v>81</v>
      </c>
      <c r="C207" s="151" t="s">
        <v>872</v>
      </c>
      <c r="D207" s="150"/>
      <c r="E207" s="767"/>
      <c r="F207" s="152" t="s">
        <v>1996</v>
      </c>
      <c r="G207" s="173" t="s">
        <v>541</v>
      </c>
      <c r="H207" s="173" t="s">
        <v>541</v>
      </c>
      <c r="I207" s="150" t="s">
        <v>541</v>
      </c>
      <c r="J207" s="152">
        <v>58.08</v>
      </c>
      <c r="K207" s="153">
        <v>681000</v>
      </c>
      <c r="L207" s="154">
        <v>20</v>
      </c>
      <c r="M207" s="153">
        <v>38741</v>
      </c>
      <c r="N207" s="154">
        <v>10</v>
      </c>
      <c r="O207" s="156">
        <v>8.6530000000000005</v>
      </c>
      <c r="P207" s="154">
        <v>25</v>
      </c>
      <c r="Q207" s="156"/>
      <c r="R207" s="156"/>
      <c r="S207" s="153">
        <v>0.03</v>
      </c>
      <c r="T207" s="153">
        <f>10^S207</f>
        <v>1.0715193052376064</v>
      </c>
      <c r="U207" s="153">
        <v>-0.36</v>
      </c>
      <c r="V207" s="520">
        <f>10^U207</f>
        <v>0.43651583224016594</v>
      </c>
      <c r="W207" s="787"/>
      <c r="X207" s="512"/>
      <c r="Y207" s="156"/>
      <c r="Z207" s="156"/>
      <c r="AA207" s="156"/>
      <c r="AB207" s="156"/>
      <c r="AC207" s="501"/>
      <c r="AD207" s="690"/>
      <c r="AE207" s="512"/>
      <c r="AF207" s="156">
        <v>0.03</v>
      </c>
      <c r="AG207" s="156">
        <f>0.00001/0.24</f>
        <v>4.1666666666666672E-5</v>
      </c>
      <c r="AH207" s="156">
        <f>(0.00001/0.0000037)*0.001</f>
        <v>2.7027027027027029E-3</v>
      </c>
      <c r="AI207" s="690"/>
      <c r="AJ207" s="153"/>
      <c r="AK207" s="153"/>
      <c r="AL207" s="153"/>
      <c r="AM207" s="153"/>
      <c r="AN207" s="153"/>
      <c r="AO207" s="153"/>
      <c r="AP207" s="153"/>
      <c r="AQ207" s="153"/>
      <c r="AR207" s="153"/>
      <c r="AS207" s="810"/>
      <c r="AT207" s="173"/>
      <c r="AU207" s="153"/>
      <c r="AV207" s="156"/>
      <c r="AW207" s="153"/>
      <c r="AX207" s="156"/>
      <c r="AY207" s="153"/>
      <c r="AZ207" s="153"/>
      <c r="BA207" s="156"/>
      <c r="BB207" s="684"/>
      <c r="BC207" s="157"/>
      <c r="BD207" s="521"/>
      <c r="BE207" s="521"/>
      <c r="BF207" s="521"/>
      <c r="BG207" s="521"/>
      <c r="BH207" s="521"/>
      <c r="BI207" s="521"/>
      <c r="BJ207" s="795"/>
      <c r="BK207" s="523"/>
      <c r="BL207" s="521"/>
      <c r="BN207" s="343"/>
      <c r="BO207" s="343"/>
      <c r="BP207" s="343"/>
    </row>
    <row r="208" spans="1:68" ht="102">
      <c r="A208" s="149"/>
      <c r="B208" s="158"/>
      <c r="C208" s="151"/>
      <c r="D208" s="150"/>
      <c r="E208" s="767"/>
      <c r="F208" s="159"/>
      <c r="G208" s="159"/>
      <c r="H208" s="159"/>
      <c r="I208" s="170"/>
      <c r="J208" s="159" t="s">
        <v>708</v>
      </c>
      <c r="K208" s="158" t="s">
        <v>976</v>
      </c>
      <c r="L208" s="160"/>
      <c r="M208" s="158" t="s">
        <v>977</v>
      </c>
      <c r="N208" s="160"/>
      <c r="O208" s="155" t="s">
        <v>654</v>
      </c>
      <c r="P208" s="171"/>
      <c r="Q208" s="158" t="s">
        <v>715</v>
      </c>
      <c r="R208" s="158"/>
      <c r="S208" s="160" t="s">
        <v>978</v>
      </c>
      <c r="T208" s="153"/>
      <c r="U208" s="160" t="s">
        <v>979</v>
      </c>
      <c r="V208" s="520"/>
      <c r="W208" s="788"/>
      <c r="X208" s="159"/>
      <c r="Y208" s="158"/>
      <c r="Z208" s="158"/>
      <c r="AA208" s="158"/>
      <c r="AB208" s="158"/>
      <c r="AC208" s="502"/>
      <c r="AD208" s="695"/>
      <c r="AE208" s="159"/>
      <c r="AF208" s="158" t="s">
        <v>980</v>
      </c>
      <c r="AG208" s="158" t="s">
        <v>981</v>
      </c>
      <c r="AH208" s="158" t="s">
        <v>982</v>
      </c>
      <c r="AI208" s="695"/>
      <c r="AJ208" s="161"/>
      <c r="AK208" s="161"/>
      <c r="AL208" s="161"/>
      <c r="AM208" s="161"/>
      <c r="AN208" s="161"/>
      <c r="AO208" s="161"/>
      <c r="AP208" s="161"/>
      <c r="AQ208" s="161"/>
      <c r="AR208" s="161"/>
      <c r="AS208" s="678"/>
      <c r="AT208" s="185"/>
      <c r="AU208" s="162"/>
      <c r="AV208" s="163"/>
      <c r="AW208" s="164"/>
      <c r="AX208" s="163"/>
      <c r="AY208" s="162"/>
      <c r="AZ208" s="164"/>
      <c r="BA208" s="163"/>
      <c r="BB208" s="695"/>
      <c r="BC208" s="165"/>
      <c r="BD208" s="522"/>
      <c r="BE208" s="522"/>
      <c r="BF208" s="522"/>
      <c r="BG208" s="522"/>
      <c r="BH208" s="522"/>
      <c r="BI208" s="522"/>
      <c r="BJ208" s="806"/>
      <c r="BK208" s="524"/>
      <c r="BL208" s="522"/>
      <c r="BN208" s="343"/>
      <c r="BO208" s="343"/>
      <c r="BP208" s="343"/>
    </row>
    <row r="209" spans="1:68" ht="15.75">
      <c r="A209" s="149">
        <v>114</v>
      </c>
      <c r="B209" s="150" t="s">
        <v>77</v>
      </c>
      <c r="C209" s="151" t="s">
        <v>968</v>
      </c>
      <c r="D209" s="150"/>
      <c r="E209" s="767"/>
      <c r="F209" s="709" t="s">
        <v>1997</v>
      </c>
      <c r="G209" s="173" t="s">
        <v>541</v>
      </c>
      <c r="H209" s="173" t="s">
        <v>541</v>
      </c>
      <c r="I209" s="150" t="s">
        <v>541</v>
      </c>
      <c r="J209" s="173">
        <v>260.76100000000002</v>
      </c>
      <c r="K209" s="153">
        <v>2</v>
      </c>
      <c r="L209" s="154">
        <v>20</v>
      </c>
      <c r="M209" s="153">
        <v>20</v>
      </c>
      <c r="N209" s="154">
        <v>20</v>
      </c>
      <c r="O209" s="156">
        <v>1044</v>
      </c>
      <c r="P209" s="154">
        <v>25</v>
      </c>
      <c r="Q209" s="156"/>
      <c r="R209" s="156"/>
      <c r="S209" s="153">
        <v>4.7699999999999996</v>
      </c>
      <c r="T209" s="153">
        <f>10^S209</f>
        <v>58884.365535558936</v>
      </c>
      <c r="U209" s="153">
        <v>4.38</v>
      </c>
      <c r="V209" s="520">
        <f>10^U209</f>
        <v>23988.329190194923</v>
      </c>
      <c r="W209" s="684"/>
      <c r="X209" s="512"/>
      <c r="Y209" s="156"/>
      <c r="Z209" s="156"/>
      <c r="AA209" s="156"/>
      <c r="AB209" s="156"/>
      <c r="AC209" s="501"/>
      <c r="AD209" s="690"/>
      <c r="AE209" s="512">
        <v>2.0000000000000001E-4</v>
      </c>
      <c r="AF209" s="156"/>
      <c r="AG209" s="156">
        <f>0.00001/0.078</f>
        <v>1.2820512820512821E-4</v>
      </c>
      <c r="AH209" s="156">
        <v>4.5449999999999999E-4</v>
      </c>
      <c r="AI209" s="690"/>
      <c r="AJ209" s="153"/>
      <c r="AK209" s="153"/>
      <c r="AL209" s="153"/>
      <c r="AM209" s="153"/>
      <c r="AN209" s="153"/>
      <c r="AO209" s="153"/>
      <c r="AP209" s="153"/>
      <c r="AQ209" s="153"/>
      <c r="AR209" s="153"/>
      <c r="AS209" s="810"/>
      <c r="AT209" s="173"/>
      <c r="AU209" s="153"/>
      <c r="AV209" s="156"/>
      <c r="AW209" s="153"/>
      <c r="AX209" s="156"/>
      <c r="AY209" s="153"/>
      <c r="AZ209" s="153"/>
      <c r="BA209" s="156"/>
      <c r="BB209" s="684"/>
      <c r="BC209" s="157"/>
      <c r="BD209" s="521"/>
      <c r="BE209" s="521"/>
      <c r="BF209" s="521"/>
      <c r="BG209" s="521"/>
      <c r="BH209" s="521"/>
      <c r="BI209" s="521"/>
      <c r="BJ209" s="795"/>
      <c r="BK209" s="523"/>
      <c r="BL209" s="521"/>
      <c r="BN209" s="343"/>
      <c r="BO209" s="343"/>
      <c r="BP209" s="343"/>
    </row>
    <row r="210" spans="1:68" ht="191.25">
      <c r="A210" s="149"/>
      <c r="B210" s="158"/>
      <c r="C210" s="151"/>
      <c r="D210" s="150"/>
      <c r="E210" s="767"/>
      <c r="F210" s="159"/>
      <c r="G210" s="159"/>
      <c r="H210" s="159"/>
      <c r="I210" s="158" t="s">
        <v>661</v>
      </c>
      <c r="J210" s="159" t="s">
        <v>708</v>
      </c>
      <c r="K210" s="163" t="s">
        <v>969</v>
      </c>
      <c r="L210" s="169"/>
      <c r="M210" s="163" t="s">
        <v>970</v>
      </c>
      <c r="N210" s="169"/>
      <c r="O210" s="155" t="s">
        <v>654</v>
      </c>
      <c r="P210" s="171"/>
      <c r="Q210" s="158" t="s">
        <v>715</v>
      </c>
      <c r="R210" s="158"/>
      <c r="S210" s="158" t="s">
        <v>971</v>
      </c>
      <c r="T210" s="153"/>
      <c r="U210" s="158" t="s">
        <v>972</v>
      </c>
      <c r="V210" s="520"/>
      <c r="W210" s="695"/>
      <c r="X210" s="159"/>
      <c r="Y210" s="158"/>
      <c r="Z210" s="158"/>
      <c r="AA210" s="158"/>
      <c r="AB210" s="158"/>
      <c r="AC210" s="502"/>
      <c r="AD210" s="695"/>
      <c r="AE210" s="159" t="s">
        <v>973</v>
      </c>
      <c r="AF210" s="158"/>
      <c r="AG210" s="158" t="s">
        <v>974</v>
      </c>
      <c r="AH210" s="158" t="s">
        <v>975</v>
      </c>
      <c r="AI210" s="695"/>
      <c r="AJ210" s="161"/>
      <c r="AK210" s="161"/>
      <c r="AL210" s="161"/>
      <c r="AM210" s="161"/>
      <c r="AN210" s="161"/>
      <c r="AO210" s="161"/>
      <c r="AP210" s="161"/>
      <c r="AQ210" s="161"/>
      <c r="AR210" s="161"/>
      <c r="AS210" s="678"/>
      <c r="AT210" s="185"/>
      <c r="AU210" s="162"/>
      <c r="AV210" s="163"/>
      <c r="AW210" s="164"/>
      <c r="AX210" s="163"/>
      <c r="AY210" s="162"/>
      <c r="AZ210" s="164"/>
      <c r="BA210" s="163"/>
      <c r="BB210" s="695"/>
      <c r="BC210" s="165"/>
      <c r="BD210" s="522"/>
      <c r="BE210" s="522"/>
      <c r="BF210" s="522"/>
      <c r="BG210" s="522"/>
      <c r="BH210" s="522"/>
      <c r="BI210" s="522"/>
      <c r="BJ210" s="806"/>
      <c r="BK210" s="524"/>
      <c r="BL210" s="522"/>
      <c r="BN210" s="343"/>
      <c r="BO210" s="343"/>
      <c r="BP210" s="343"/>
    </row>
    <row r="211" spans="1:68">
      <c r="A211" s="149">
        <v>116</v>
      </c>
      <c r="B211" s="150" t="s">
        <v>84</v>
      </c>
      <c r="C211" s="151" t="s">
        <v>860</v>
      </c>
      <c r="D211" s="150"/>
      <c r="E211" s="767"/>
      <c r="F211" s="152" t="s">
        <v>1996</v>
      </c>
      <c r="G211" s="173" t="s">
        <v>541</v>
      </c>
      <c r="H211" s="173" t="s">
        <v>541</v>
      </c>
      <c r="I211" s="150" t="s">
        <v>541</v>
      </c>
      <c r="J211" s="152">
        <v>74.120999999999995</v>
      </c>
      <c r="K211" s="153">
        <v>1000000</v>
      </c>
      <c r="L211" s="154">
        <v>25</v>
      </c>
      <c r="M211" s="153">
        <v>1899</v>
      </c>
      <c r="N211" s="154">
        <v>10</v>
      </c>
      <c r="O211" s="156">
        <v>9.7000000000000003E-2</v>
      </c>
      <c r="P211" s="154">
        <v>20</v>
      </c>
      <c r="Q211" s="156"/>
      <c r="R211" s="156"/>
      <c r="S211" s="153">
        <v>0.35</v>
      </c>
      <c r="T211" s="153">
        <f>10^S211</f>
        <v>2.2387211385683394</v>
      </c>
      <c r="U211" s="153">
        <v>1.57</v>
      </c>
      <c r="V211" s="520">
        <f>10^U211</f>
        <v>37.153522909717275</v>
      </c>
      <c r="W211" s="787"/>
      <c r="X211" s="512"/>
      <c r="Y211" s="156"/>
      <c r="Z211" s="156"/>
      <c r="AA211" s="156"/>
      <c r="AB211" s="156"/>
      <c r="AC211" s="501"/>
      <c r="AD211" s="690"/>
      <c r="AE211" s="512"/>
      <c r="AF211" s="150"/>
      <c r="AG211" s="156">
        <f>0.00001/0.0033</f>
        <v>3.0303030303030307E-3</v>
      </c>
      <c r="AH211" s="156"/>
      <c r="AI211" s="690"/>
      <c r="AJ211" s="153"/>
      <c r="AK211" s="153"/>
      <c r="AL211" s="153"/>
      <c r="AM211" s="153"/>
      <c r="AN211" s="153"/>
      <c r="AO211" s="153"/>
      <c r="AP211" s="153"/>
      <c r="AQ211" s="153"/>
      <c r="AR211" s="153"/>
      <c r="AS211" s="810"/>
      <c r="AT211" s="173"/>
      <c r="AU211" s="153"/>
      <c r="AV211" s="156"/>
      <c r="AW211" s="153"/>
      <c r="AX211" s="156"/>
      <c r="AY211" s="153"/>
      <c r="AZ211" s="153"/>
      <c r="BA211" s="156"/>
      <c r="BB211" s="684"/>
      <c r="BC211" s="157"/>
      <c r="BD211" s="521"/>
      <c r="BE211" s="521"/>
      <c r="BF211" s="521"/>
      <c r="BG211" s="521"/>
      <c r="BH211" s="521"/>
      <c r="BI211" s="521"/>
      <c r="BJ211" s="795"/>
      <c r="BK211" s="523"/>
      <c r="BL211" s="521"/>
      <c r="BN211" s="343"/>
      <c r="BO211" s="343"/>
      <c r="BP211" s="343"/>
    </row>
    <row r="212" spans="1:68" ht="140.25">
      <c r="A212" s="149"/>
      <c r="B212" s="158"/>
      <c r="C212" s="151"/>
      <c r="D212" s="150"/>
      <c r="E212" s="767"/>
      <c r="F212" s="159"/>
      <c r="G212" s="159"/>
      <c r="H212" s="159"/>
      <c r="I212" s="170" t="s">
        <v>986</v>
      </c>
      <c r="J212" s="159" t="s">
        <v>708</v>
      </c>
      <c r="K212" s="158" t="s">
        <v>983</v>
      </c>
      <c r="L212" s="160"/>
      <c r="M212" s="160" t="s">
        <v>984</v>
      </c>
      <c r="N212" s="160"/>
      <c r="O212" s="155" t="s">
        <v>654</v>
      </c>
      <c r="P212" s="160"/>
      <c r="Q212" s="158" t="s">
        <v>715</v>
      </c>
      <c r="R212" s="158"/>
      <c r="S212" s="160" t="s">
        <v>681</v>
      </c>
      <c r="T212" s="153"/>
      <c r="U212" s="160" t="s">
        <v>985</v>
      </c>
      <c r="V212" s="520"/>
      <c r="W212" s="695"/>
      <c r="X212" s="159"/>
      <c r="Y212" s="158"/>
      <c r="Z212" s="158"/>
      <c r="AA212" s="158"/>
      <c r="AB212" s="158"/>
      <c r="AC212" s="502"/>
      <c r="AD212" s="695"/>
      <c r="AE212" s="159"/>
      <c r="AF212" s="158"/>
      <c r="AG212" s="158" t="s">
        <v>987</v>
      </c>
      <c r="AH212" s="158"/>
      <c r="AI212" s="695"/>
      <c r="AJ212" s="161"/>
      <c r="AK212" s="161"/>
      <c r="AL212" s="161"/>
      <c r="AM212" s="161"/>
      <c r="AN212" s="161"/>
      <c r="AO212" s="161"/>
      <c r="AP212" s="161"/>
      <c r="AQ212" s="161"/>
      <c r="AR212" s="161"/>
      <c r="AS212" s="678"/>
      <c r="AT212" s="185"/>
      <c r="AU212" s="162"/>
      <c r="AV212" s="163"/>
      <c r="AW212" s="164"/>
      <c r="AX212" s="163"/>
      <c r="AY212" s="162"/>
      <c r="AZ212" s="164"/>
      <c r="BA212" s="163"/>
      <c r="BB212" s="695"/>
      <c r="BC212" s="165"/>
      <c r="BD212" s="522"/>
      <c r="BE212" s="522"/>
      <c r="BF212" s="522"/>
      <c r="BG212" s="522"/>
      <c r="BH212" s="522"/>
      <c r="BI212" s="522"/>
      <c r="BJ212" s="806"/>
      <c r="BK212" s="524"/>
      <c r="BL212" s="522"/>
      <c r="BN212" s="343"/>
      <c r="BO212" s="343"/>
      <c r="BP212" s="343"/>
    </row>
    <row r="213" spans="1:68">
      <c r="A213" s="149">
        <v>122</v>
      </c>
      <c r="B213" s="150" t="s">
        <v>136</v>
      </c>
      <c r="C213" s="151" t="s">
        <v>988</v>
      </c>
      <c r="D213" s="150"/>
      <c r="E213" s="767"/>
      <c r="F213" s="152" t="s">
        <v>1996</v>
      </c>
      <c r="G213" s="173" t="s">
        <v>541</v>
      </c>
      <c r="H213" s="173" t="s">
        <v>541</v>
      </c>
      <c r="I213" s="150" t="s">
        <v>541</v>
      </c>
      <c r="J213" s="152">
        <v>321.971</v>
      </c>
      <c r="K213" s="174">
        <v>4.8299999999999998E-4</v>
      </c>
      <c r="L213" s="167">
        <v>17.3</v>
      </c>
      <c r="M213" s="156">
        <v>1.4E-8</v>
      </c>
      <c r="N213" s="154">
        <v>10</v>
      </c>
      <c r="O213" s="156">
        <v>1.62</v>
      </c>
      <c r="P213" s="154">
        <v>25</v>
      </c>
      <c r="Q213" s="156">
        <v>9.9999999999999995E-8</v>
      </c>
      <c r="R213" s="156"/>
      <c r="S213" s="153">
        <v>6.68</v>
      </c>
      <c r="T213" s="153">
        <f>10^S213</f>
        <v>4786300.9232263844</v>
      </c>
      <c r="U213" s="153">
        <v>5.63</v>
      </c>
      <c r="V213" s="520">
        <f>10^U213</f>
        <v>426579.51880159322</v>
      </c>
      <c r="W213" s="787"/>
      <c r="X213" s="512"/>
      <c r="Y213" s="156"/>
      <c r="Z213" s="156"/>
      <c r="AA213" s="156"/>
      <c r="AB213" s="156"/>
      <c r="AC213" s="501"/>
      <c r="AD213" s="690"/>
      <c r="AE213" s="512">
        <v>6.9999999999999996E-10</v>
      </c>
      <c r="AF213" s="156">
        <v>4.0000000000000001E-8</v>
      </c>
      <c r="AG213" s="156">
        <f>0.00001/130000</f>
        <v>7.6923076923076924E-11</v>
      </c>
      <c r="AH213" s="156">
        <f>0.00001/38000</f>
        <v>2.6315789473684214E-10</v>
      </c>
      <c r="AI213" s="690"/>
      <c r="AJ213" s="153"/>
      <c r="AK213" s="153"/>
      <c r="AL213" s="153"/>
      <c r="AM213" s="153"/>
      <c r="AN213" s="153"/>
      <c r="AO213" s="153"/>
      <c r="AP213" s="153"/>
      <c r="AQ213" s="153"/>
      <c r="AR213" s="153"/>
      <c r="AS213" s="810"/>
      <c r="AT213" s="173"/>
      <c r="AU213" s="153"/>
      <c r="AV213" s="156"/>
      <c r="AW213" s="153"/>
      <c r="AX213" s="156"/>
      <c r="AY213" s="153"/>
      <c r="AZ213" s="153"/>
      <c r="BA213" s="156"/>
      <c r="BB213" s="684"/>
      <c r="BC213" s="157"/>
      <c r="BD213" s="521"/>
      <c r="BE213" s="521"/>
      <c r="BF213" s="521"/>
      <c r="BG213" s="521"/>
      <c r="BH213" s="521"/>
      <c r="BI213" s="521"/>
      <c r="BJ213" s="795"/>
      <c r="BK213" s="523"/>
      <c r="BL213" s="521"/>
      <c r="BN213" s="343"/>
      <c r="BO213" s="343"/>
      <c r="BP213" s="343"/>
    </row>
    <row r="214" spans="1:68" ht="242.25">
      <c r="A214" s="149"/>
      <c r="B214" s="158"/>
      <c r="C214" s="151"/>
      <c r="D214" s="150"/>
      <c r="E214" s="767"/>
      <c r="F214" s="159"/>
      <c r="G214" s="159"/>
      <c r="H214" s="159"/>
      <c r="I214" s="170"/>
      <c r="J214" s="159" t="s">
        <v>708</v>
      </c>
      <c r="K214" s="160" t="s">
        <v>989</v>
      </c>
      <c r="L214" s="160"/>
      <c r="M214" s="160" t="s">
        <v>990</v>
      </c>
      <c r="N214" s="160"/>
      <c r="O214" s="155" t="s">
        <v>654</v>
      </c>
      <c r="P214" s="160"/>
      <c r="Q214" s="160" t="s">
        <v>658</v>
      </c>
      <c r="R214" s="160"/>
      <c r="S214" s="160" t="s">
        <v>991</v>
      </c>
      <c r="T214" s="153"/>
      <c r="U214" s="160" t="s">
        <v>992</v>
      </c>
      <c r="V214" s="520"/>
      <c r="W214" s="788"/>
      <c r="X214" s="159"/>
      <c r="Y214" s="158"/>
      <c r="Z214" s="158"/>
      <c r="AA214" s="158"/>
      <c r="AB214" s="158"/>
      <c r="AC214" s="502"/>
      <c r="AD214" s="695"/>
      <c r="AE214" s="159" t="s">
        <v>993</v>
      </c>
      <c r="AF214" s="158" t="s">
        <v>859</v>
      </c>
      <c r="AG214" s="158" t="s">
        <v>994</v>
      </c>
      <c r="AH214" s="158" t="s">
        <v>995</v>
      </c>
      <c r="AI214" s="695"/>
      <c r="AJ214" s="161"/>
      <c r="AK214" s="161"/>
      <c r="AL214" s="161"/>
      <c r="AM214" s="161"/>
      <c r="AN214" s="161"/>
      <c r="AO214" s="161"/>
      <c r="AP214" s="161"/>
      <c r="AQ214" s="161"/>
      <c r="AR214" s="161"/>
      <c r="AS214" s="678"/>
      <c r="AT214" s="185"/>
      <c r="AU214" s="162"/>
      <c r="AV214" s="163"/>
      <c r="AW214" s="164"/>
      <c r="AX214" s="163"/>
      <c r="AY214" s="162"/>
      <c r="AZ214" s="164"/>
      <c r="BA214" s="163"/>
      <c r="BB214" s="695"/>
      <c r="BC214" s="165"/>
      <c r="BD214" s="522"/>
      <c r="BE214" s="522"/>
      <c r="BF214" s="522"/>
      <c r="BG214" s="522"/>
      <c r="BH214" s="522"/>
      <c r="BI214" s="522"/>
      <c r="BJ214" s="806"/>
      <c r="BK214" s="524"/>
      <c r="BL214" s="522"/>
      <c r="BN214" s="193"/>
      <c r="BO214" s="193"/>
      <c r="BP214" s="193"/>
    </row>
    <row r="215" spans="1:68">
      <c r="A215" s="191">
        <v>123</v>
      </c>
      <c r="B215" s="191" t="s">
        <v>382</v>
      </c>
      <c r="C215" s="486" t="s">
        <v>1371</v>
      </c>
      <c r="D215" s="191"/>
      <c r="E215" s="728"/>
      <c r="F215" s="191" t="s">
        <v>1996</v>
      </c>
      <c r="G215" s="173" t="s">
        <v>541</v>
      </c>
      <c r="H215" s="173" t="s">
        <v>541</v>
      </c>
      <c r="I215" s="191"/>
      <c r="J215" s="191"/>
      <c r="K215" s="191"/>
      <c r="L215" s="191"/>
      <c r="M215" s="191"/>
      <c r="N215" s="191"/>
      <c r="O215" s="168">
        <v>1.2869999999999999</v>
      </c>
      <c r="P215" s="191">
        <v>20</v>
      </c>
      <c r="Q215" s="191"/>
      <c r="R215" s="191"/>
      <c r="S215" s="191"/>
      <c r="T215" s="191"/>
      <c r="U215" s="191">
        <v>2.4900000000000002</v>
      </c>
      <c r="V215" s="520">
        <f>10^U215</f>
        <v>309.02954325135937</v>
      </c>
      <c r="X215" s="516"/>
      <c r="Y215" s="191"/>
      <c r="Z215" s="191"/>
      <c r="AA215" s="191"/>
      <c r="AB215" s="191"/>
      <c r="AC215" s="486"/>
      <c r="AE215" s="516"/>
      <c r="AF215" s="191"/>
      <c r="AG215" s="191"/>
      <c r="AH215" s="191"/>
      <c r="AJ215" s="193"/>
      <c r="AK215" s="193"/>
      <c r="AL215" s="193"/>
      <c r="AM215" s="193"/>
      <c r="AN215" s="193"/>
      <c r="AO215" s="193"/>
      <c r="AP215" s="193"/>
      <c r="AQ215" s="193"/>
      <c r="AR215" s="193"/>
      <c r="AT215" s="526"/>
      <c r="AU215" s="193"/>
      <c r="AV215" s="193"/>
      <c r="AW215" s="193"/>
      <c r="AX215" s="193"/>
      <c r="AY215" s="193"/>
      <c r="AZ215" s="193"/>
      <c r="BA215" s="193"/>
      <c r="BC215" s="191"/>
      <c r="BD215" s="486"/>
      <c r="BE215" s="486"/>
      <c r="BF215" s="486"/>
      <c r="BG215" s="486"/>
      <c r="BH215" s="486"/>
      <c r="BI215" s="486"/>
      <c r="BK215" s="516"/>
      <c r="BL215" s="486"/>
      <c r="BN215" s="193"/>
      <c r="BO215" s="193"/>
      <c r="BP215" s="193"/>
    </row>
    <row r="216" spans="1:68">
      <c r="A216" s="191"/>
      <c r="B216" s="191"/>
      <c r="C216" s="486"/>
      <c r="D216" s="191"/>
      <c r="E216" s="728"/>
      <c r="F216" s="191"/>
      <c r="G216" s="191"/>
      <c r="H216" s="191"/>
      <c r="I216" s="191"/>
      <c r="J216" s="191"/>
      <c r="K216" s="191"/>
      <c r="L216" s="191"/>
      <c r="M216" s="191"/>
      <c r="N216" s="191"/>
      <c r="O216" s="168" t="s">
        <v>654</v>
      </c>
      <c r="P216" s="191"/>
      <c r="Q216" s="191"/>
      <c r="R216" s="191"/>
      <c r="S216" s="191"/>
      <c r="T216" s="191"/>
      <c r="U216" s="191" t="s">
        <v>654</v>
      </c>
      <c r="V216" s="486"/>
      <c r="X216" s="516"/>
      <c r="Y216" s="191"/>
      <c r="Z216" s="191"/>
      <c r="AA216" s="191"/>
      <c r="AB216" s="191"/>
      <c r="AC216" s="486"/>
      <c r="AE216" s="516"/>
      <c r="AF216" s="191"/>
      <c r="AG216" s="191"/>
      <c r="AH216" s="191"/>
      <c r="AJ216" s="193"/>
      <c r="AK216" s="193"/>
      <c r="AL216" s="193"/>
      <c r="AM216" s="193"/>
      <c r="AN216" s="193"/>
      <c r="AO216" s="193"/>
      <c r="AP216" s="193"/>
      <c r="AQ216" s="193"/>
      <c r="AR216" s="193"/>
      <c r="AT216" s="526"/>
      <c r="AU216" s="193"/>
      <c r="AV216" s="193"/>
      <c r="AW216" s="193"/>
      <c r="AX216" s="193"/>
      <c r="AY216" s="193"/>
      <c r="AZ216" s="193"/>
      <c r="BA216" s="193"/>
      <c r="BC216" s="191"/>
      <c r="BD216" s="486"/>
      <c r="BE216" s="486"/>
      <c r="BF216" s="486"/>
      <c r="BG216" s="486"/>
      <c r="BH216" s="486"/>
      <c r="BI216" s="486"/>
      <c r="BK216" s="516"/>
      <c r="BL216" s="486"/>
      <c r="BN216" s="193"/>
      <c r="BO216" s="193"/>
      <c r="BP216" s="193"/>
    </row>
    <row r="217" spans="1:68" s="772" customFormat="1">
      <c r="A217" s="725">
        <v>126</v>
      </c>
      <c r="B217" s="725" t="s">
        <v>386</v>
      </c>
      <c r="C217" s="765" t="s">
        <v>1356</v>
      </c>
      <c r="D217" s="725"/>
      <c r="E217" s="728"/>
      <c r="F217" s="725" t="s">
        <v>1996</v>
      </c>
      <c r="G217" s="709" t="s">
        <v>541</v>
      </c>
      <c r="H217" s="709" t="s">
        <v>541</v>
      </c>
      <c r="I217" s="725"/>
      <c r="J217" s="725"/>
      <c r="K217" s="725"/>
      <c r="L217" s="725"/>
      <c r="M217" s="725"/>
      <c r="N217" s="725"/>
      <c r="O217" s="726">
        <v>0.253</v>
      </c>
      <c r="P217" s="725">
        <v>20</v>
      </c>
      <c r="Q217" s="725"/>
      <c r="R217" s="725"/>
      <c r="S217" s="725"/>
      <c r="T217" s="725"/>
      <c r="U217" s="725"/>
      <c r="V217" s="765"/>
      <c r="W217" s="674"/>
      <c r="X217" s="782"/>
      <c r="Y217" s="725"/>
      <c r="Z217" s="725"/>
      <c r="AA217" s="725"/>
      <c r="AB217" s="725"/>
      <c r="AC217" s="765"/>
      <c r="AD217" s="674"/>
      <c r="AE217" s="782"/>
      <c r="AF217" s="725"/>
      <c r="AG217" s="725"/>
      <c r="AH217" s="725"/>
      <c r="AI217" s="674"/>
      <c r="AJ217" s="725"/>
      <c r="AK217" s="725"/>
      <c r="AL217" s="725"/>
      <c r="AM217" s="725"/>
      <c r="AN217" s="725"/>
      <c r="AO217" s="725"/>
      <c r="AP217" s="725"/>
      <c r="AQ217" s="725"/>
      <c r="AR217" s="725"/>
      <c r="AS217" s="674"/>
      <c r="AT217" s="782"/>
      <c r="AU217" s="725"/>
      <c r="AV217" s="725"/>
      <c r="AW217" s="725"/>
      <c r="AX217" s="725"/>
      <c r="AY217" s="725"/>
      <c r="AZ217" s="725"/>
      <c r="BA217" s="725"/>
      <c r="BB217" s="674"/>
      <c r="BC217" s="725"/>
      <c r="BD217" s="765"/>
      <c r="BE217" s="765"/>
      <c r="BF217" s="765"/>
      <c r="BG217" s="765"/>
      <c r="BH217" s="765"/>
      <c r="BI217" s="765"/>
      <c r="BJ217" s="674"/>
      <c r="BK217" s="782"/>
      <c r="BL217" s="765"/>
      <c r="BM217" s="802"/>
      <c r="BN217" s="725"/>
      <c r="BO217" s="725"/>
      <c r="BP217" s="725"/>
    </row>
    <row r="218" spans="1:68" s="772" customFormat="1">
      <c r="A218" s="725"/>
      <c r="B218" s="725"/>
      <c r="C218" s="765"/>
      <c r="D218" s="725"/>
      <c r="E218" s="728"/>
      <c r="F218" s="725"/>
      <c r="G218" s="725"/>
      <c r="H218" s="725"/>
      <c r="I218" s="725"/>
      <c r="J218" s="769"/>
      <c r="K218" s="769"/>
      <c r="L218" s="769"/>
      <c r="M218" s="769"/>
      <c r="N218" s="769"/>
      <c r="O218" s="843" t="s">
        <v>654</v>
      </c>
      <c r="P218" s="769"/>
      <c r="Q218" s="769"/>
      <c r="R218" s="769"/>
      <c r="S218" s="769"/>
      <c r="T218" s="769"/>
      <c r="U218" s="769"/>
      <c r="V218" s="770"/>
      <c r="W218" s="674"/>
      <c r="X218" s="805"/>
      <c r="Y218" s="769"/>
      <c r="Z218" s="769"/>
      <c r="AA218" s="769"/>
      <c r="AB218" s="769"/>
      <c r="AC218" s="765"/>
      <c r="AD218" s="674"/>
      <c r="AE218" s="782"/>
      <c r="AF218" s="725"/>
      <c r="AG218" s="725"/>
      <c r="AH218" s="725"/>
      <c r="AI218" s="674"/>
      <c r="AJ218" s="725"/>
      <c r="AK218" s="725"/>
      <c r="AL218" s="725"/>
      <c r="AM218" s="725"/>
      <c r="AN218" s="725"/>
      <c r="AO218" s="725"/>
      <c r="AP218" s="725"/>
      <c r="AQ218" s="725"/>
      <c r="AR218" s="725"/>
      <c r="AS218" s="674"/>
      <c r="AT218" s="782"/>
      <c r="AU218" s="725"/>
      <c r="AV218" s="725"/>
      <c r="AW218" s="725"/>
      <c r="AX218" s="725"/>
      <c r="AY218" s="725"/>
      <c r="AZ218" s="725"/>
      <c r="BA218" s="725"/>
      <c r="BB218" s="674"/>
      <c r="BC218" s="725"/>
      <c r="BD218" s="765"/>
      <c r="BE218" s="765"/>
      <c r="BF218" s="765"/>
      <c r="BG218" s="765"/>
      <c r="BH218" s="765"/>
      <c r="BI218" s="765"/>
      <c r="BJ218" s="674"/>
      <c r="BK218" s="782"/>
      <c r="BL218" s="765"/>
      <c r="BM218" s="802"/>
      <c r="BN218" s="725"/>
      <c r="BO218" s="725"/>
      <c r="BP218" s="725"/>
    </row>
    <row r="219" spans="1:68" s="772" customFormat="1" ht="38.25">
      <c r="A219" s="681">
        <v>128</v>
      </c>
      <c r="B219" s="682" t="s">
        <v>138</v>
      </c>
      <c r="C219" s="683" t="s">
        <v>2222</v>
      </c>
      <c r="D219" s="682" t="s">
        <v>2538</v>
      </c>
      <c r="E219" s="767"/>
      <c r="F219" s="685" t="s">
        <v>1996</v>
      </c>
      <c r="G219" s="709" t="s">
        <v>1997</v>
      </c>
      <c r="H219" s="709" t="s">
        <v>541</v>
      </c>
      <c r="I219" s="682" t="s">
        <v>541</v>
      </c>
      <c r="J219" s="682">
        <v>409.779</v>
      </c>
      <c r="K219" s="879">
        <v>5.6000000000000001E-2</v>
      </c>
      <c r="L219" s="879">
        <v>25</v>
      </c>
      <c r="M219" s="879">
        <v>1.2999000000000001E-3</v>
      </c>
      <c r="N219" s="879">
        <v>25</v>
      </c>
      <c r="O219" s="879">
        <v>9.02</v>
      </c>
      <c r="P219" s="879">
        <v>20</v>
      </c>
      <c r="Q219" s="879" t="s">
        <v>541</v>
      </c>
      <c r="R219" s="689" t="s">
        <v>541</v>
      </c>
      <c r="S219" s="879">
        <v>6.16</v>
      </c>
      <c r="T219" s="686">
        <f>10^S219</f>
        <v>1445439.7707459298</v>
      </c>
      <c r="U219" s="879">
        <v>5.45</v>
      </c>
      <c r="V219" s="686">
        <f>10^U219</f>
        <v>281838.29312644573</v>
      </c>
      <c r="W219" s="979"/>
      <c r="X219" s="870">
        <v>6.9999999999999999E-4</v>
      </c>
      <c r="Y219" s="870">
        <v>5.0000000000000001E-4</v>
      </c>
      <c r="Z219" s="689">
        <f>Y219</f>
        <v>5.0000000000000001E-4</v>
      </c>
      <c r="AA219" s="870">
        <v>0.34499999999999997</v>
      </c>
      <c r="AB219" s="870">
        <v>0.35</v>
      </c>
      <c r="AC219" s="775">
        <f>AB219</f>
        <v>0.35</v>
      </c>
      <c r="AD219" s="690"/>
      <c r="AE219" s="780"/>
      <c r="AF219" s="689"/>
      <c r="AG219" s="682"/>
      <c r="AH219" s="682"/>
      <c r="AI219" s="684"/>
      <c r="AJ219" s="686" t="s">
        <v>541</v>
      </c>
      <c r="AK219" s="686" t="s">
        <v>541</v>
      </c>
      <c r="AL219" s="686" t="s">
        <v>541</v>
      </c>
      <c r="AM219" s="686" t="s">
        <v>541</v>
      </c>
      <c r="AN219" s="686" t="s">
        <v>541</v>
      </c>
      <c r="AO219" s="686" t="s">
        <v>541</v>
      </c>
      <c r="AP219" s="686" t="s">
        <v>541</v>
      </c>
      <c r="AQ219" s="686" t="s">
        <v>541</v>
      </c>
      <c r="AR219" s="686" t="s">
        <v>541</v>
      </c>
      <c r="AS219" s="810"/>
      <c r="AT219" s="709"/>
      <c r="AU219" s="686"/>
      <c r="AV219" s="689"/>
      <c r="AW219" s="686"/>
      <c r="AX219" s="689"/>
      <c r="AY219" s="686"/>
      <c r="AZ219" s="686"/>
      <c r="BA219" s="689"/>
      <c r="BB219" s="684"/>
      <c r="BC219" s="691" t="s">
        <v>541</v>
      </c>
      <c r="BD219" s="691" t="s">
        <v>541</v>
      </c>
      <c r="BE219" s="691" t="s">
        <v>541</v>
      </c>
      <c r="BF219" s="691" t="s">
        <v>541</v>
      </c>
      <c r="BG219" s="691" t="s">
        <v>541</v>
      </c>
      <c r="BH219" s="691" t="s">
        <v>541</v>
      </c>
      <c r="BI219" s="691" t="s">
        <v>541</v>
      </c>
      <c r="BJ219" s="795"/>
      <c r="BK219" s="803"/>
      <c r="BL219" s="799"/>
      <c r="BM219" s="802"/>
      <c r="BN219" s="870" t="s">
        <v>541</v>
      </c>
      <c r="BO219" s="870">
        <v>0.04</v>
      </c>
      <c r="BP219" s="870">
        <v>0.7</v>
      </c>
    </row>
    <row r="220" spans="1:68" s="772" customFormat="1" ht="204">
      <c r="A220" s="681"/>
      <c r="B220" s="692"/>
      <c r="C220" s="683"/>
      <c r="D220" s="682"/>
      <c r="E220" s="767"/>
      <c r="F220" s="693"/>
      <c r="G220" s="693"/>
      <c r="H220" s="693"/>
      <c r="I220" s="705" t="s">
        <v>661</v>
      </c>
      <c r="J220" s="692" t="s">
        <v>2211</v>
      </c>
      <c r="K220" s="883" t="s">
        <v>2223</v>
      </c>
      <c r="L220" s="883"/>
      <c r="M220" s="883" t="s">
        <v>2224</v>
      </c>
      <c r="N220" s="883"/>
      <c r="O220" s="883" t="s">
        <v>2225</v>
      </c>
      <c r="P220" s="883"/>
      <c r="Q220" s="883"/>
      <c r="R220" s="694"/>
      <c r="S220" s="883" t="s">
        <v>2226</v>
      </c>
      <c r="T220" s="686"/>
      <c r="U220" s="883" t="s">
        <v>2227</v>
      </c>
      <c r="V220" s="686"/>
      <c r="W220" s="980"/>
      <c r="X220" s="874" t="s">
        <v>2206</v>
      </c>
      <c r="Y220" s="874" t="s">
        <v>2228</v>
      </c>
      <c r="Z220" s="692"/>
      <c r="AA220" s="874" t="s">
        <v>967</v>
      </c>
      <c r="AB220" s="874" t="s">
        <v>2228</v>
      </c>
      <c r="AC220" s="776"/>
      <c r="AD220" s="695"/>
      <c r="AE220" s="693"/>
      <c r="AF220" s="692"/>
      <c r="AG220" s="692"/>
      <c r="AH220" s="692"/>
      <c r="AI220" s="695"/>
      <c r="AJ220" s="696" t="s">
        <v>2221</v>
      </c>
      <c r="AK220" s="696" t="s">
        <v>2221</v>
      </c>
      <c r="AL220" s="696" t="s">
        <v>2221</v>
      </c>
      <c r="AM220" s="696" t="s">
        <v>2221</v>
      </c>
      <c r="AN220" s="696" t="s">
        <v>2221</v>
      </c>
      <c r="AO220" s="696" t="s">
        <v>2221</v>
      </c>
      <c r="AP220" s="696" t="s">
        <v>2221</v>
      </c>
      <c r="AQ220" s="696" t="s">
        <v>2221</v>
      </c>
      <c r="AR220" s="696" t="s">
        <v>2221</v>
      </c>
      <c r="AS220" s="678"/>
      <c r="AT220" s="719"/>
      <c r="AU220" s="697"/>
      <c r="AV220" s="698"/>
      <c r="AW220" s="699"/>
      <c r="AX220" s="698"/>
      <c r="AY220" s="697"/>
      <c r="AZ220" s="699"/>
      <c r="BA220" s="698"/>
      <c r="BB220" s="695"/>
      <c r="BC220" s="691" t="s">
        <v>2220</v>
      </c>
      <c r="BD220" s="691" t="s">
        <v>2220</v>
      </c>
      <c r="BE220" s="691" t="s">
        <v>2220</v>
      </c>
      <c r="BF220" s="691" t="s">
        <v>2220</v>
      </c>
      <c r="BG220" s="691" t="s">
        <v>2220</v>
      </c>
      <c r="BH220" s="691" t="s">
        <v>2220</v>
      </c>
      <c r="BI220" s="691" t="s">
        <v>2220</v>
      </c>
      <c r="BJ220" s="806"/>
      <c r="BK220" s="804"/>
      <c r="BL220" s="800"/>
      <c r="BM220" s="802"/>
      <c r="BN220" s="870" t="s">
        <v>2220</v>
      </c>
      <c r="BO220" s="874" t="s">
        <v>2229</v>
      </c>
      <c r="BP220" s="874" t="s">
        <v>2230</v>
      </c>
    </row>
    <row r="221" spans="1:68" s="772" customFormat="1" ht="15.75">
      <c r="A221" s="681">
        <v>130</v>
      </c>
      <c r="B221" s="682" t="s">
        <v>54</v>
      </c>
      <c r="C221" s="683" t="s">
        <v>960</v>
      </c>
      <c r="D221" s="682"/>
      <c r="E221" s="767"/>
      <c r="F221" s="709" t="s">
        <v>1996</v>
      </c>
      <c r="G221" s="709" t="s">
        <v>541</v>
      </c>
      <c r="H221" s="709" t="s">
        <v>541</v>
      </c>
      <c r="I221" s="682" t="s">
        <v>541</v>
      </c>
      <c r="J221" s="830">
        <v>112.986</v>
      </c>
      <c r="K221" s="835">
        <v>2680</v>
      </c>
      <c r="L221" s="832">
        <v>10</v>
      </c>
      <c r="M221" s="831">
        <v>3181</v>
      </c>
      <c r="N221" s="832">
        <v>10</v>
      </c>
      <c r="O221" s="831">
        <v>123.6</v>
      </c>
      <c r="P221" s="832">
        <v>10</v>
      </c>
      <c r="Q221" s="831"/>
      <c r="R221" s="831"/>
      <c r="S221" s="835">
        <v>2</v>
      </c>
      <c r="T221" s="835">
        <f>10^S221</f>
        <v>100</v>
      </c>
      <c r="U221" s="835">
        <v>1.5952685743822035</v>
      </c>
      <c r="V221" s="841">
        <f>10^U221</f>
        <v>39.379352814052254</v>
      </c>
      <c r="W221" s="684"/>
      <c r="X221" s="842"/>
      <c r="Y221" s="831"/>
      <c r="Z221" s="831"/>
      <c r="AA221" s="831"/>
      <c r="AB221" s="831"/>
      <c r="AC221" s="775"/>
      <c r="AD221" s="690"/>
      <c r="AE221" s="780">
        <v>1.4E-2</v>
      </c>
      <c r="AF221" s="689">
        <v>4.0000000000000001E-3</v>
      </c>
      <c r="AG221" s="689">
        <f>0.00001/0.036</f>
        <v>2.7777777777777783E-4</v>
      </c>
      <c r="AH221" s="689">
        <f>0.00001/0.01</f>
        <v>1E-3</v>
      </c>
      <c r="AI221" s="690"/>
      <c r="AJ221" s="686"/>
      <c r="AK221" s="686"/>
      <c r="AL221" s="686"/>
      <c r="AM221" s="686"/>
      <c r="AN221" s="686"/>
      <c r="AO221" s="686"/>
      <c r="AP221" s="686"/>
      <c r="AQ221" s="686"/>
      <c r="AR221" s="686"/>
      <c r="AS221" s="810"/>
      <c r="AT221" s="709"/>
      <c r="AU221" s="686"/>
      <c r="AV221" s="689"/>
      <c r="AW221" s="686"/>
      <c r="AX221" s="689"/>
      <c r="AY221" s="686"/>
      <c r="AZ221" s="686"/>
      <c r="BA221" s="689"/>
      <c r="BB221" s="684"/>
      <c r="BC221" s="691"/>
      <c r="BD221" s="799"/>
      <c r="BE221" s="799"/>
      <c r="BF221" s="799"/>
      <c r="BG221" s="799"/>
      <c r="BH221" s="799"/>
      <c r="BI221" s="799"/>
      <c r="BJ221" s="795"/>
      <c r="BK221" s="803"/>
      <c r="BL221" s="799"/>
      <c r="BM221" s="802"/>
      <c r="BN221" s="725"/>
      <c r="BO221" s="725"/>
      <c r="BP221" s="725"/>
    </row>
    <row r="222" spans="1:68" s="772" customFormat="1" ht="191.25">
      <c r="A222" s="681"/>
      <c r="B222" s="698"/>
      <c r="C222" s="683"/>
      <c r="D222" s="682"/>
      <c r="E222" s="767"/>
      <c r="F222" s="693"/>
      <c r="G222" s="693"/>
      <c r="H222" s="693"/>
      <c r="I222" s="823" t="s">
        <v>661</v>
      </c>
      <c r="J222" s="822" t="s">
        <v>708</v>
      </c>
      <c r="K222" s="844" t="s">
        <v>961</v>
      </c>
      <c r="L222" s="845"/>
      <c r="M222" s="824" t="s">
        <v>962</v>
      </c>
      <c r="N222" s="824"/>
      <c r="O222" s="825" t="s">
        <v>654</v>
      </c>
      <c r="P222" s="846"/>
      <c r="Q222" s="823" t="s">
        <v>715</v>
      </c>
      <c r="R222" s="823"/>
      <c r="S222" s="823" t="s">
        <v>708</v>
      </c>
      <c r="T222" s="826"/>
      <c r="U222" s="823" t="s">
        <v>963</v>
      </c>
      <c r="V222" s="847"/>
      <c r="W222" s="695"/>
      <c r="X222" s="822"/>
      <c r="Y222" s="823"/>
      <c r="Z222" s="823"/>
      <c r="AA222" s="823"/>
      <c r="AB222" s="823"/>
      <c r="AC222" s="776"/>
      <c r="AD222" s="695"/>
      <c r="AE222" s="693" t="s">
        <v>964</v>
      </c>
      <c r="AF222" s="692" t="s">
        <v>965</v>
      </c>
      <c r="AG222" s="692" t="s">
        <v>966</v>
      </c>
      <c r="AH222" s="692" t="s">
        <v>967</v>
      </c>
      <c r="AI222" s="695"/>
      <c r="AJ222" s="696"/>
      <c r="AK222" s="696"/>
      <c r="AL222" s="696"/>
      <c r="AM222" s="696"/>
      <c r="AN222" s="696"/>
      <c r="AO222" s="696"/>
      <c r="AP222" s="696"/>
      <c r="AQ222" s="696"/>
      <c r="AR222" s="696"/>
      <c r="AS222" s="678"/>
      <c r="AT222" s="719"/>
      <c r="AU222" s="697"/>
      <c r="AV222" s="698"/>
      <c r="AW222" s="699"/>
      <c r="AX222" s="698"/>
      <c r="AY222" s="697"/>
      <c r="AZ222" s="699"/>
      <c r="BA222" s="698"/>
      <c r="BB222" s="695"/>
      <c r="BC222" s="700"/>
      <c r="BD222" s="800"/>
      <c r="BE222" s="800"/>
      <c r="BF222" s="800"/>
      <c r="BG222" s="800"/>
      <c r="BH222" s="800"/>
      <c r="BI222" s="800"/>
      <c r="BJ222" s="806"/>
      <c r="BK222" s="804"/>
      <c r="BL222" s="800"/>
      <c r="BM222" s="802"/>
      <c r="BN222" s="725"/>
      <c r="BO222" s="725"/>
      <c r="BP222" s="725"/>
    </row>
    <row r="223" spans="1:68" s="772" customFormat="1" ht="76.5">
      <c r="A223" s="681">
        <v>131</v>
      </c>
      <c r="B223" s="689" t="s">
        <v>141</v>
      </c>
      <c r="C223" s="683" t="s">
        <v>959</v>
      </c>
      <c r="D223" s="682" t="s">
        <v>2539</v>
      </c>
      <c r="E223" s="767"/>
      <c r="F223" s="709" t="s">
        <v>1996</v>
      </c>
      <c r="G223" s="709" t="s">
        <v>1997</v>
      </c>
      <c r="H223" s="709" t="s">
        <v>541</v>
      </c>
      <c r="I223" s="689" t="s">
        <v>541</v>
      </c>
      <c r="J223" s="879">
        <v>380.90899999999999</v>
      </c>
      <c r="K223" s="879">
        <v>0.19500000000000001</v>
      </c>
      <c r="L223" s="879">
        <v>25</v>
      </c>
      <c r="M223" s="879">
        <v>7.8526875000000003E-4</v>
      </c>
      <c r="N223" s="879">
        <v>25</v>
      </c>
      <c r="O223" s="879">
        <v>2.94</v>
      </c>
      <c r="P223" s="879">
        <v>20</v>
      </c>
      <c r="Q223" s="912">
        <v>4.9999999999999998E-7</v>
      </c>
      <c r="R223" s="689" t="s">
        <v>541</v>
      </c>
      <c r="S223" s="879">
        <v>5.4</v>
      </c>
      <c r="T223" s="686">
        <f>10^S223</f>
        <v>251188.64315095844</v>
      </c>
      <c r="U223" s="879">
        <v>4.0973639073206334</v>
      </c>
      <c r="V223" s="686">
        <f>10^U223</f>
        <v>12513.070957711245</v>
      </c>
      <c r="W223" s="975"/>
      <c r="X223" s="870">
        <v>3.5E-4</v>
      </c>
      <c r="Y223" s="870">
        <v>5.0000000000000002E-5</v>
      </c>
      <c r="Z223" s="689">
        <f>Y223</f>
        <v>5.0000000000000002E-5</v>
      </c>
      <c r="AA223" s="870">
        <v>4.5999999999999996</v>
      </c>
      <c r="AB223" s="870">
        <v>16</v>
      </c>
      <c r="AC223" s="775">
        <f>AB223</f>
        <v>16</v>
      </c>
      <c r="AD223" s="690"/>
      <c r="AE223" s="780"/>
      <c r="AF223" s="682"/>
      <c r="AG223" s="689"/>
      <c r="AH223" s="689"/>
      <c r="AI223" s="690"/>
      <c r="AJ223" s="686"/>
      <c r="AK223" s="686"/>
      <c r="AL223" s="686"/>
      <c r="AM223" s="686"/>
      <c r="AN223" s="686"/>
      <c r="AO223" s="686"/>
      <c r="AP223" s="686"/>
      <c r="AQ223" s="686"/>
      <c r="AR223" s="686"/>
      <c r="AS223" s="810"/>
      <c r="AT223" s="709"/>
      <c r="AU223" s="686"/>
      <c r="AV223" s="689"/>
      <c r="AW223" s="686"/>
      <c r="AX223" s="689"/>
      <c r="AY223" s="686"/>
      <c r="AZ223" s="686"/>
      <c r="BA223" s="689"/>
      <c r="BB223" s="684"/>
      <c r="BC223" s="691"/>
      <c r="BD223" s="799"/>
      <c r="BE223" s="799"/>
      <c r="BF223" s="799"/>
      <c r="BG223" s="799"/>
      <c r="BH223" s="799"/>
      <c r="BI223" s="799"/>
      <c r="BJ223" s="795"/>
      <c r="BK223" s="803"/>
      <c r="BL223" s="799"/>
      <c r="BM223" s="802"/>
      <c r="BN223" s="870"/>
      <c r="BO223" s="870">
        <v>0.25</v>
      </c>
      <c r="BP223" s="870">
        <v>0.8</v>
      </c>
    </row>
    <row r="224" spans="1:68" s="772" customFormat="1" ht="114.75">
      <c r="A224" s="681"/>
      <c r="B224" s="692"/>
      <c r="C224" s="683"/>
      <c r="D224" s="682"/>
      <c r="E224" s="767"/>
      <c r="F224" s="693"/>
      <c r="G224" s="693"/>
      <c r="H224" s="693"/>
      <c r="I224" s="705"/>
      <c r="J224" s="904" t="s">
        <v>2211</v>
      </c>
      <c r="K224" s="883" t="s">
        <v>2277</v>
      </c>
      <c r="L224" s="883"/>
      <c r="M224" s="883" t="s">
        <v>2278</v>
      </c>
      <c r="N224" s="883"/>
      <c r="O224" s="883" t="s">
        <v>2279</v>
      </c>
      <c r="P224" s="883"/>
      <c r="Q224" s="883" t="s">
        <v>2271</v>
      </c>
      <c r="R224" s="692"/>
      <c r="S224" s="883" t="s">
        <v>2280</v>
      </c>
      <c r="T224" s="686"/>
      <c r="U224" s="883" t="s">
        <v>2281</v>
      </c>
      <c r="V224" s="686"/>
      <c r="W224" s="976"/>
      <c r="X224" s="874" t="s">
        <v>2282</v>
      </c>
      <c r="Y224" s="874" t="s">
        <v>2283</v>
      </c>
      <c r="Z224" s="692"/>
      <c r="AA224" s="874" t="s">
        <v>2283</v>
      </c>
      <c r="AB224" s="874" t="s">
        <v>2283</v>
      </c>
      <c r="AC224" s="776"/>
      <c r="AD224" s="695"/>
      <c r="AE224" s="693"/>
      <c r="AF224" s="692"/>
      <c r="AG224" s="692"/>
      <c r="AH224" s="692"/>
      <c r="AI224" s="695"/>
      <c r="AJ224" s="696" t="s">
        <v>2221</v>
      </c>
      <c r="AK224" s="696" t="s">
        <v>2221</v>
      </c>
      <c r="AL224" s="696" t="s">
        <v>2221</v>
      </c>
      <c r="AM224" s="696" t="s">
        <v>2221</v>
      </c>
      <c r="AN224" s="696" t="s">
        <v>2221</v>
      </c>
      <c r="AO224" s="696" t="s">
        <v>2221</v>
      </c>
      <c r="AP224" s="696" t="s">
        <v>2221</v>
      </c>
      <c r="AQ224" s="696" t="s">
        <v>2221</v>
      </c>
      <c r="AR224" s="696" t="s">
        <v>2221</v>
      </c>
      <c r="AS224" s="678"/>
      <c r="AT224" s="719"/>
      <c r="AU224" s="697"/>
      <c r="AV224" s="698"/>
      <c r="AW224" s="699"/>
      <c r="AX224" s="698"/>
      <c r="AY224" s="697"/>
      <c r="AZ224" s="699"/>
      <c r="BA224" s="698"/>
      <c r="BB224" s="695"/>
      <c r="BC224" s="691" t="s">
        <v>2220</v>
      </c>
      <c r="BD224" s="691" t="s">
        <v>2220</v>
      </c>
      <c r="BE224" s="691" t="s">
        <v>2220</v>
      </c>
      <c r="BF224" s="691" t="s">
        <v>2220</v>
      </c>
      <c r="BG224" s="691" t="s">
        <v>2220</v>
      </c>
      <c r="BH224" s="691" t="s">
        <v>2220</v>
      </c>
      <c r="BI224" s="691" t="s">
        <v>2220</v>
      </c>
      <c r="BJ224" s="806"/>
      <c r="BK224" s="804"/>
      <c r="BL224" s="800"/>
      <c r="BM224" s="802"/>
      <c r="BN224" s="870" t="s">
        <v>2220</v>
      </c>
      <c r="BO224" s="874" t="s">
        <v>2208</v>
      </c>
      <c r="BP224" s="874" t="s">
        <v>2230</v>
      </c>
    </row>
    <row r="225" spans="1:68" s="772" customFormat="1" ht="15.75">
      <c r="A225" s="681">
        <v>133</v>
      </c>
      <c r="B225" s="682" t="s">
        <v>139</v>
      </c>
      <c r="C225" s="683" t="s">
        <v>942</v>
      </c>
      <c r="D225" s="682"/>
      <c r="E225" s="767"/>
      <c r="F225" s="685" t="s">
        <v>1996</v>
      </c>
      <c r="G225" s="709" t="s">
        <v>541</v>
      </c>
      <c r="H225" s="709" t="s">
        <v>541</v>
      </c>
      <c r="I225" s="839" t="s">
        <v>541</v>
      </c>
      <c r="J225" s="840">
        <v>389.31700000000001</v>
      </c>
      <c r="K225" s="848">
        <v>0.11</v>
      </c>
      <c r="L225" s="834">
        <v>15</v>
      </c>
      <c r="M225" s="831">
        <v>3.4699999999999998E-4</v>
      </c>
      <c r="N225" s="832">
        <v>20</v>
      </c>
      <c r="O225" s="831">
        <v>2.13</v>
      </c>
      <c r="P225" s="832">
        <v>25</v>
      </c>
      <c r="Q225" s="831"/>
      <c r="R225" s="831"/>
      <c r="S225" s="835">
        <v>4.7614735180850962</v>
      </c>
      <c r="T225" s="835">
        <f>10^S225</f>
        <v>57739.56638645356</v>
      </c>
      <c r="U225" s="835">
        <v>4.0591846421731486</v>
      </c>
      <c r="V225" s="841">
        <f>10^U225</f>
        <v>11460.000647599254</v>
      </c>
      <c r="W225" s="795"/>
      <c r="X225" s="842"/>
      <c r="Y225" s="831"/>
      <c r="Z225" s="831"/>
      <c r="AA225" s="831"/>
      <c r="AB225" s="831"/>
      <c r="AC225" s="775"/>
      <c r="AD225" s="690"/>
      <c r="AE225" s="780">
        <v>1.2999999999999999E-5</v>
      </c>
      <c r="AF225" s="689"/>
      <c r="AG225" s="682">
        <f>0.00001/9.1</f>
        <v>1.098901098901099E-6</v>
      </c>
      <c r="AH225" s="682">
        <f>0.00001/2.6</f>
        <v>3.8461538461538459E-6</v>
      </c>
      <c r="AI225" s="684"/>
      <c r="AJ225" s="686"/>
      <c r="AK225" s="686"/>
      <c r="AL225" s="686"/>
      <c r="AM225" s="686"/>
      <c r="AN225" s="686"/>
      <c r="AO225" s="686"/>
      <c r="AP225" s="686"/>
      <c r="AQ225" s="686"/>
      <c r="AR225" s="686"/>
      <c r="AS225" s="810"/>
      <c r="AT225" s="709"/>
      <c r="AU225" s="686"/>
      <c r="AV225" s="689"/>
      <c r="AW225" s="686"/>
      <c r="AX225" s="689"/>
      <c r="AY225" s="686"/>
      <c r="AZ225" s="686"/>
      <c r="BA225" s="689"/>
      <c r="BB225" s="684"/>
      <c r="BC225" s="691"/>
      <c r="BD225" s="799"/>
      <c r="BE225" s="799"/>
      <c r="BF225" s="799"/>
      <c r="BG225" s="799"/>
      <c r="BH225" s="799"/>
      <c r="BI225" s="799"/>
      <c r="BJ225" s="795"/>
      <c r="BK225" s="803"/>
      <c r="BL225" s="799"/>
      <c r="BM225" s="802"/>
      <c r="BN225" s="725"/>
      <c r="BO225" s="725"/>
      <c r="BP225" s="725"/>
    </row>
    <row r="226" spans="1:68" s="772" customFormat="1" ht="191.25">
      <c r="A226" s="681"/>
      <c r="B226" s="692"/>
      <c r="C226" s="683"/>
      <c r="D226" s="682"/>
      <c r="E226" s="767"/>
      <c r="F226" s="693"/>
      <c r="G226" s="693"/>
      <c r="H226" s="693"/>
      <c r="I226" s="705"/>
      <c r="J226" s="693" t="s">
        <v>941</v>
      </c>
      <c r="K226" s="694" t="s">
        <v>943</v>
      </c>
      <c r="L226" s="694"/>
      <c r="M226" s="694" t="s">
        <v>944</v>
      </c>
      <c r="N226" s="694"/>
      <c r="O226" s="688" t="s">
        <v>654</v>
      </c>
      <c r="P226" s="706"/>
      <c r="Q226" s="694" t="s">
        <v>715</v>
      </c>
      <c r="R226" s="694"/>
      <c r="S226" s="694" t="s">
        <v>945</v>
      </c>
      <c r="T226" s="686"/>
      <c r="U226" s="692" t="s">
        <v>946</v>
      </c>
      <c r="V226" s="790"/>
      <c r="W226" s="796"/>
      <c r="X226" s="693"/>
      <c r="Y226" s="692"/>
      <c r="Z226" s="692"/>
      <c r="AA226" s="692"/>
      <c r="AB226" s="692"/>
      <c r="AC226" s="776"/>
      <c r="AD226" s="695"/>
      <c r="AE226" s="693" t="s">
        <v>947</v>
      </c>
      <c r="AF226" s="692"/>
      <c r="AG226" s="692" t="s">
        <v>948</v>
      </c>
      <c r="AH226" s="692" t="s">
        <v>949</v>
      </c>
      <c r="AI226" s="695"/>
      <c r="AJ226" s="696"/>
      <c r="AK226" s="696"/>
      <c r="AL226" s="696"/>
      <c r="AM226" s="696"/>
      <c r="AN226" s="696"/>
      <c r="AO226" s="696"/>
      <c r="AP226" s="696"/>
      <c r="AQ226" s="696"/>
      <c r="AR226" s="696"/>
      <c r="AS226" s="678"/>
      <c r="AT226" s="719"/>
      <c r="AU226" s="697" t="s">
        <v>541</v>
      </c>
      <c r="AV226" s="698"/>
      <c r="AW226" s="699" t="s">
        <v>541</v>
      </c>
      <c r="AX226" s="698"/>
      <c r="AY226" s="697" t="s">
        <v>541</v>
      </c>
      <c r="AZ226" s="699" t="s">
        <v>541</v>
      </c>
      <c r="BA226" s="698"/>
      <c r="BB226" s="695"/>
      <c r="BC226" s="700"/>
      <c r="BD226" s="800"/>
      <c r="BE226" s="800"/>
      <c r="BF226" s="800"/>
      <c r="BG226" s="800"/>
      <c r="BH226" s="800"/>
      <c r="BI226" s="800"/>
      <c r="BJ226" s="806"/>
      <c r="BK226" s="804" t="s">
        <v>541</v>
      </c>
      <c r="BL226" s="800" t="s">
        <v>541</v>
      </c>
      <c r="BM226" s="802"/>
      <c r="BN226" s="869"/>
      <c r="BO226" s="869"/>
      <c r="BP226" s="869"/>
    </row>
    <row r="227" spans="1:68" ht="15.75">
      <c r="A227" s="149">
        <v>136</v>
      </c>
      <c r="B227" s="150" t="s">
        <v>140</v>
      </c>
      <c r="C227" s="172" t="s">
        <v>950</v>
      </c>
      <c r="D227" s="148"/>
      <c r="E227" s="766"/>
      <c r="F227" s="152" t="s">
        <v>1996</v>
      </c>
      <c r="G227" s="173" t="s">
        <v>541</v>
      </c>
      <c r="H227" s="173" t="s">
        <v>541</v>
      </c>
      <c r="I227" s="170" t="s">
        <v>541</v>
      </c>
      <c r="J227" s="152">
        <v>290.83</v>
      </c>
      <c r="K227" s="148">
        <v>6.5</v>
      </c>
      <c r="L227" s="167">
        <v>15</v>
      </c>
      <c r="M227" s="156">
        <v>1.4500000000000001E-2</v>
      </c>
      <c r="N227" s="154">
        <v>10</v>
      </c>
      <c r="O227" s="156">
        <v>6.2E-2</v>
      </c>
      <c r="P227" s="154">
        <v>10</v>
      </c>
      <c r="Q227" s="156">
        <v>4.9999999999999998E-7</v>
      </c>
      <c r="R227" s="156"/>
      <c r="S227" s="153">
        <v>3.63</v>
      </c>
      <c r="T227" s="153">
        <f>10^S227</f>
        <v>4265.7951880159299</v>
      </c>
      <c r="U227" s="153">
        <v>2.92</v>
      </c>
      <c r="V227" s="520">
        <f>10^U227</f>
        <v>831.7637711026714</v>
      </c>
      <c r="W227" s="690"/>
      <c r="X227" s="512"/>
      <c r="Y227" s="156"/>
      <c r="Z227" s="156"/>
      <c r="AA227" s="156"/>
      <c r="AB227" s="156"/>
      <c r="AC227" s="501"/>
      <c r="AD227" s="690"/>
      <c r="AE227" s="512">
        <v>4.0000000000000003E-5</v>
      </c>
      <c r="AF227" s="156">
        <v>1.3999999999999999E-4</v>
      </c>
      <c r="AG227" s="156">
        <f>0.00001/1.1</f>
        <v>9.090909090909091E-6</v>
      </c>
      <c r="AH227" s="156">
        <f>0.00001/0.31</f>
        <v>3.2258064516129034E-5</v>
      </c>
      <c r="AI227" s="690"/>
      <c r="AJ227" s="153"/>
      <c r="AK227" s="153"/>
      <c r="AL227" s="153"/>
      <c r="AM227" s="153"/>
      <c r="AN227" s="153"/>
      <c r="AO227" s="153"/>
      <c r="AP227" s="153"/>
      <c r="AQ227" s="153"/>
      <c r="AR227" s="153"/>
      <c r="AS227" s="810"/>
      <c r="AT227" s="173"/>
      <c r="AU227" s="153"/>
      <c r="AV227" s="156"/>
      <c r="AW227" s="153"/>
      <c r="AX227" s="156"/>
      <c r="AY227" s="153"/>
      <c r="AZ227" s="153"/>
      <c r="BA227" s="156"/>
      <c r="BB227" s="684"/>
      <c r="BC227" s="157"/>
      <c r="BD227" s="521"/>
      <c r="BE227" s="521"/>
      <c r="BF227" s="521"/>
      <c r="BG227" s="521"/>
      <c r="BH227" s="521"/>
      <c r="BI227" s="521"/>
      <c r="BJ227" s="795"/>
      <c r="BK227" s="523"/>
      <c r="BL227" s="521"/>
      <c r="BN227" s="343"/>
      <c r="BO227" s="343"/>
      <c r="BP227" s="343"/>
    </row>
    <row r="228" spans="1:68" ht="242.25">
      <c r="A228" s="149"/>
      <c r="B228" s="158"/>
      <c r="C228" s="172"/>
      <c r="D228" s="148"/>
      <c r="E228" s="766"/>
      <c r="F228" s="159"/>
      <c r="G228" s="159"/>
      <c r="H228" s="159"/>
      <c r="I228" s="170"/>
      <c r="J228" s="159" t="s">
        <v>680</v>
      </c>
      <c r="K228" s="160" t="s">
        <v>951</v>
      </c>
      <c r="L228" s="160"/>
      <c r="M228" s="160" t="s">
        <v>952</v>
      </c>
      <c r="N228" s="160"/>
      <c r="O228" s="155" t="s">
        <v>654</v>
      </c>
      <c r="P228" s="160"/>
      <c r="Q228" s="160" t="s">
        <v>658</v>
      </c>
      <c r="R228" s="160"/>
      <c r="S228" s="160" t="s">
        <v>953</v>
      </c>
      <c r="T228" s="153"/>
      <c r="U228" s="158" t="s">
        <v>954</v>
      </c>
      <c r="V228" s="520"/>
      <c r="W228" s="684"/>
      <c r="X228" s="159"/>
      <c r="Y228" s="158"/>
      <c r="Z228" s="158"/>
      <c r="AA228" s="158"/>
      <c r="AB228" s="158"/>
      <c r="AC228" s="502"/>
      <c r="AD228" s="695"/>
      <c r="AE228" s="159" t="s">
        <v>955</v>
      </c>
      <c r="AF228" s="161" t="s">
        <v>956</v>
      </c>
      <c r="AG228" s="163" t="s">
        <v>957</v>
      </c>
      <c r="AH228" s="163" t="s">
        <v>958</v>
      </c>
      <c r="AI228" s="708"/>
      <c r="AJ228" s="161"/>
      <c r="AK228" s="161"/>
      <c r="AL228" s="161"/>
      <c r="AM228" s="161"/>
      <c r="AN228" s="161"/>
      <c r="AO228" s="161"/>
      <c r="AP228" s="161"/>
      <c r="AQ228" s="161"/>
      <c r="AR228" s="161"/>
      <c r="AS228" s="678"/>
      <c r="AT228" s="185"/>
      <c r="AU228" s="162" t="s">
        <v>541</v>
      </c>
      <c r="AV228" s="163"/>
      <c r="AW228" s="164" t="s">
        <v>541</v>
      </c>
      <c r="AX228" s="163"/>
      <c r="AY228" s="162" t="s">
        <v>541</v>
      </c>
      <c r="AZ228" s="164" t="s">
        <v>541</v>
      </c>
      <c r="BA228" s="163"/>
      <c r="BB228" s="695"/>
      <c r="BC228" s="165"/>
      <c r="BD228" s="522"/>
      <c r="BE228" s="522"/>
      <c r="BF228" s="522"/>
      <c r="BG228" s="522"/>
      <c r="BH228" s="522"/>
      <c r="BI228" s="522"/>
      <c r="BJ228" s="806"/>
      <c r="BK228" s="524" t="s">
        <v>541</v>
      </c>
      <c r="BL228" s="522" t="s">
        <v>541</v>
      </c>
      <c r="BN228" s="343"/>
      <c r="BO228" s="343"/>
      <c r="BP228" s="343"/>
    </row>
    <row r="229" spans="1:68">
      <c r="A229" s="149">
        <v>151</v>
      </c>
      <c r="B229" s="150" t="s">
        <v>173</v>
      </c>
      <c r="C229" s="184" t="s">
        <v>1293</v>
      </c>
      <c r="D229" s="488"/>
      <c r="E229" s="767"/>
      <c r="F229" s="152" t="s">
        <v>1996</v>
      </c>
      <c r="G229" s="152" t="s">
        <v>1996</v>
      </c>
      <c r="H229" s="152" t="s">
        <v>1416</v>
      </c>
      <c r="I229" s="150">
        <v>0.62</v>
      </c>
      <c r="J229" s="152">
        <v>269.76799999999997</v>
      </c>
      <c r="K229" s="153">
        <v>242</v>
      </c>
      <c r="L229" s="154">
        <v>20</v>
      </c>
      <c r="M229" s="182">
        <v>3.0000000000000001E-3</v>
      </c>
      <c r="N229" s="154">
        <v>20</v>
      </c>
      <c r="O229" s="156">
        <v>6.1999999999999998E-3</v>
      </c>
      <c r="P229" s="154">
        <v>10</v>
      </c>
      <c r="Q229" s="156"/>
      <c r="R229" s="156"/>
      <c r="S229" s="153">
        <v>3.0880000000000001</v>
      </c>
      <c r="T229" s="153">
        <f>10^S229</f>
        <v>1224.61619926505</v>
      </c>
      <c r="U229" s="153">
        <v>2.25</v>
      </c>
      <c r="V229" s="520">
        <f>10^U229</f>
        <v>177.82794100389242</v>
      </c>
      <c r="W229" s="795"/>
      <c r="X229" s="512"/>
      <c r="Y229" s="156"/>
      <c r="Z229" s="156"/>
      <c r="AA229" s="156"/>
      <c r="AB229" s="156"/>
      <c r="AC229" s="501"/>
      <c r="AD229" s="690"/>
      <c r="AE229" s="512">
        <v>0.01</v>
      </c>
      <c r="AF229" s="156"/>
      <c r="AG229" s="156">
        <f>0.00001/0.056</f>
        <v>1.7857142857142857E-4</v>
      </c>
      <c r="AH229" s="156"/>
      <c r="AI229" s="690"/>
      <c r="AJ229" s="153"/>
      <c r="AK229" s="153"/>
      <c r="AL229" s="153"/>
      <c r="AM229" s="153"/>
      <c r="AN229" s="153"/>
      <c r="AO229" s="153"/>
      <c r="AP229" s="153"/>
      <c r="AQ229" s="153"/>
      <c r="AR229" s="153"/>
      <c r="AS229" s="810"/>
      <c r="AT229" s="173"/>
      <c r="AU229" s="153"/>
      <c r="AV229" s="156"/>
      <c r="AW229" s="153"/>
      <c r="AX229" s="156"/>
      <c r="AY229" s="153"/>
      <c r="AZ229" s="153"/>
      <c r="BA229" s="156"/>
      <c r="BB229" s="684"/>
      <c r="BC229" s="157"/>
      <c r="BD229" s="521"/>
      <c r="BE229" s="521"/>
      <c r="BF229" s="521"/>
      <c r="BG229" s="521"/>
      <c r="BH229" s="521"/>
      <c r="BI229" s="521"/>
      <c r="BJ229" s="795"/>
      <c r="BK229" s="523"/>
      <c r="BL229" s="521"/>
      <c r="BN229" s="343"/>
      <c r="BO229" s="343"/>
      <c r="BP229" s="343"/>
    </row>
    <row r="230" spans="1:68" ht="102">
      <c r="A230" s="149"/>
      <c r="B230" s="158"/>
      <c r="C230" s="151"/>
      <c r="D230" s="150"/>
      <c r="E230" s="767"/>
      <c r="F230" s="159"/>
      <c r="G230" s="159"/>
      <c r="H230" s="159"/>
      <c r="I230" s="158" t="s">
        <v>1099</v>
      </c>
      <c r="J230" s="159" t="s">
        <v>910</v>
      </c>
      <c r="K230" s="160" t="s">
        <v>911</v>
      </c>
      <c r="L230" s="160"/>
      <c r="M230" s="160" t="s">
        <v>912</v>
      </c>
      <c r="N230" s="160"/>
      <c r="O230" s="155" t="s">
        <v>654</v>
      </c>
      <c r="P230" s="160"/>
      <c r="Q230" s="160" t="s">
        <v>1096</v>
      </c>
      <c r="R230" s="160"/>
      <c r="S230" s="160" t="s">
        <v>1097</v>
      </c>
      <c r="T230" s="153"/>
      <c r="U230" s="160" t="s">
        <v>1098</v>
      </c>
      <c r="V230" s="520"/>
      <c r="W230" s="796"/>
      <c r="X230" s="159"/>
      <c r="Y230" s="158"/>
      <c r="Z230" s="158"/>
      <c r="AA230" s="158"/>
      <c r="AB230" s="158"/>
      <c r="AC230" s="502"/>
      <c r="AD230" s="695"/>
      <c r="AE230" s="159" t="s">
        <v>662</v>
      </c>
      <c r="AF230" s="158"/>
      <c r="AG230" s="158" t="s">
        <v>1100</v>
      </c>
      <c r="AH230" s="158"/>
      <c r="AI230" s="695"/>
      <c r="AJ230" s="161"/>
      <c r="AK230" s="161"/>
      <c r="AL230" s="161"/>
      <c r="AM230" s="161"/>
      <c r="AN230" s="161"/>
      <c r="AO230" s="161"/>
      <c r="AP230" s="161"/>
      <c r="AQ230" s="161"/>
      <c r="AR230" s="161"/>
      <c r="AS230" s="678"/>
      <c r="AT230" s="185"/>
      <c r="AU230" s="162"/>
      <c r="AV230" s="163"/>
      <c r="AW230" s="164"/>
      <c r="AX230" s="163"/>
      <c r="AY230" s="162"/>
      <c r="AZ230" s="164"/>
      <c r="BA230" s="163"/>
      <c r="BB230" s="695"/>
      <c r="BC230" s="165"/>
      <c r="BD230" s="522"/>
      <c r="BE230" s="522"/>
      <c r="BF230" s="522"/>
      <c r="BG230" s="522"/>
      <c r="BH230" s="522"/>
      <c r="BI230" s="522"/>
      <c r="BJ230" s="806"/>
      <c r="BK230" s="524"/>
      <c r="BL230" s="522"/>
      <c r="BN230" s="343"/>
      <c r="BO230" s="343"/>
      <c r="BP230" s="343"/>
    </row>
    <row r="231" spans="1:68">
      <c r="A231" s="149">
        <v>152</v>
      </c>
      <c r="B231" s="150" t="s">
        <v>149</v>
      </c>
      <c r="C231" s="151" t="s">
        <v>1101</v>
      </c>
      <c r="D231" s="150"/>
      <c r="E231" s="767"/>
      <c r="F231" s="152" t="s">
        <v>1996</v>
      </c>
      <c r="G231" s="152" t="s">
        <v>1996</v>
      </c>
      <c r="H231" s="152" t="s">
        <v>845</v>
      </c>
      <c r="I231" s="150">
        <v>1.68</v>
      </c>
      <c r="J231" s="152">
        <v>215.684</v>
      </c>
      <c r="K231" s="150">
        <v>30</v>
      </c>
      <c r="L231" s="154">
        <v>20</v>
      </c>
      <c r="M231" s="182">
        <v>4.0000000000000003E-5</v>
      </c>
      <c r="N231" s="154">
        <v>20</v>
      </c>
      <c r="O231" s="156">
        <v>3.0800000000000001E-4</v>
      </c>
      <c r="P231" s="154">
        <v>10</v>
      </c>
      <c r="Q231" s="156">
        <v>1.9999999999999999E-7</v>
      </c>
      <c r="R231" s="156"/>
      <c r="S231" s="153">
        <v>2.4900000000000002</v>
      </c>
      <c r="T231" s="153">
        <f>10^S231</f>
        <v>309.02954325135937</v>
      </c>
      <c r="U231" s="153">
        <v>2.16</v>
      </c>
      <c r="V231" s="520">
        <f>10^U231</f>
        <v>144.54397707459285</v>
      </c>
      <c r="W231" s="795"/>
      <c r="X231" s="512"/>
      <c r="Y231" s="156"/>
      <c r="Z231" s="156"/>
      <c r="AA231" s="156"/>
      <c r="AB231" s="156"/>
      <c r="AC231" s="501"/>
      <c r="AD231" s="690"/>
      <c r="AE231" s="512">
        <v>5.0000000000000001E-3</v>
      </c>
      <c r="AF231" s="156"/>
      <c r="AG231" s="150">
        <f>0.00001/0.23</f>
        <v>4.347826086956522E-5</v>
      </c>
      <c r="AH231" s="150"/>
      <c r="AI231" s="684"/>
      <c r="AJ231" s="153"/>
      <c r="AK231" s="153"/>
      <c r="AL231" s="153"/>
      <c r="AM231" s="153"/>
      <c r="AN231" s="153"/>
      <c r="AO231" s="153"/>
      <c r="AP231" s="153"/>
      <c r="AQ231" s="153"/>
      <c r="AR231" s="153"/>
      <c r="AS231" s="810"/>
      <c r="AT231" s="173"/>
      <c r="AU231" s="153"/>
      <c r="AV231" s="156"/>
      <c r="AW231" s="153"/>
      <c r="AX231" s="156"/>
      <c r="AY231" s="153"/>
      <c r="AZ231" s="153"/>
      <c r="BA231" s="156"/>
      <c r="BB231" s="684"/>
      <c r="BC231" s="157"/>
      <c r="BD231" s="521"/>
      <c r="BE231" s="521"/>
      <c r="BF231" s="521"/>
      <c r="BG231" s="521"/>
      <c r="BH231" s="521"/>
      <c r="BI231" s="521"/>
      <c r="BJ231" s="795"/>
      <c r="BK231" s="523"/>
      <c r="BL231" s="521"/>
      <c r="BN231" s="343"/>
      <c r="BO231" s="343"/>
      <c r="BP231" s="343"/>
    </row>
    <row r="232" spans="1:68" ht="242.25">
      <c r="A232" s="149"/>
      <c r="B232" s="158"/>
      <c r="C232" s="151"/>
      <c r="D232" s="150"/>
      <c r="E232" s="767"/>
      <c r="F232" s="159"/>
      <c r="G232" s="159"/>
      <c r="H232" s="159"/>
      <c r="I232" s="160" t="s">
        <v>1105</v>
      </c>
      <c r="J232" s="159" t="s">
        <v>659</v>
      </c>
      <c r="K232" s="160" t="s">
        <v>1102</v>
      </c>
      <c r="L232" s="160"/>
      <c r="M232" s="160" t="s">
        <v>1102</v>
      </c>
      <c r="N232" s="160"/>
      <c r="O232" s="155" t="s">
        <v>654</v>
      </c>
      <c r="P232" s="160"/>
      <c r="Q232" s="160" t="s">
        <v>658</v>
      </c>
      <c r="R232" s="160"/>
      <c r="S232" s="160" t="s">
        <v>1103</v>
      </c>
      <c r="T232" s="153"/>
      <c r="U232" s="160" t="s">
        <v>1104</v>
      </c>
      <c r="V232" s="520"/>
      <c r="W232" s="796"/>
      <c r="X232" s="159"/>
      <c r="Y232" s="158"/>
      <c r="Z232" s="158"/>
      <c r="AA232" s="158"/>
      <c r="AB232" s="158"/>
      <c r="AC232" s="502"/>
      <c r="AD232" s="695"/>
      <c r="AE232" s="159" t="s">
        <v>819</v>
      </c>
      <c r="AF232" s="158"/>
      <c r="AG232" s="158" t="s">
        <v>1106</v>
      </c>
      <c r="AH232" s="158"/>
      <c r="AI232" s="695"/>
      <c r="AJ232" s="161"/>
      <c r="AK232" s="161"/>
      <c r="AL232" s="161"/>
      <c r="AM232" s="161"/>
      <c r="AN232" s="161"/>
      <c r="AO232" s="161"/>
      <c r="AP232" s="161"/>
      <c r="AQ232" s="161"/>
      <c r="AR232" s="161"/>
      <c r="AS232" s="678"/>
      <c r="AT232" s="185"/>
      <c r="AU232" s="162"/>
      <c r="AV232" s="163"/>
      <c r="AW232" s="164"/>
      <c r="AX232" s="163"/>
      <c r="AY232" s="162"/>
      <c r="AZ232" s="164"/>
      <c r="BA232" s="163"/>
      <c r="BB232" s="695"/>
      <c r="BC232" s="165"/>
      <c r="BD232" s="522"/>
      <c r="BE232" s="522"/>
      <c r="BF232" s="522"/>
      <c r="BG232" s="522"/>
      <c r="BH232" s="522"/>
      <c r="BI232" s="522"/>
      <c r="BJ232" s="806"/>
      <c r="BK232" s="524"/>
      <c r="BL232" s="522"/>
      <c r="BN232" s="343"/>
      <c r="BO232" s="343"/>
      <c r="BP232" s="343"/>
    </row>
    <row r="233" spans="1:68">
      <c r="A233" s="149">
        <v>153</v>
      </c>
      <c r="B233" s="150" t="s">
        <v>177</v>
      </c>
      <c r="C233" s="151" t="s">
        <v>1107</v>
      </c>
      <c r="D233" s="150"/>
      <c r="E233" s="767"/>
      <c r="F233" s="152" t="s">
        <v>1996</v>
      </c>
      <c r="G233" s="152" t="s">
        <v>1996</v>
      </c>
      <c r="H233" s="152" t="s">
        <v>1416</v>
      </c>
      <c r="I233" s="150">
        <v>3.3</v>
      </c>
      <c r="J233" s="152">
        <v>240.27799999999999</v>
      </c>
      <c r="K233" s="166">
        <v>500</v>
      </c>
      <c r="L233" s="167">
        <v>20</v>
      </c>
      <c r="M233" s="156">
        <v>4.6000000000000001E-4</v>
      </c>
      <c r="N233" s="154" t="s">
        <v>541</v>
      </c>
      <c r="O233" s="156">
        <v>2.2100000000000001E-4</v>
      </c>
      <c r="P233" s="154">
        <v>10</v>
      </c>
      <c r="Q233" s="156"/>
      <c r="R233" s="156"/>
      <c r="S233" s="153">
        <v>2.8</v>
      </c>
      <c r="T233" s="153">
        <f>10^S233</f>
        <v>630.95734448019323</v>
      </c>
      <c r="U233" s="153">
        <v>2.41</v>
      </c>
      <c r="V233" s="520">
        <f>10^U233</f>
        <v>257.03957827688663</v>
      </c>
      <c r="W233" s="797"/>
      <c r="X233" s="512"/>
      <c r="Y233" s="156"/>
      <c r="Z233" s="156"/>
      <c r="AA233" s="156"/>
      <c r="AB233" s="156"/>
      <c r="AC233" s="501"/>
      <c r="AD233" s="690"/>
      <c r="AE233" s="512">
        <v>0.03</v>
      </c>
      <c r="AF233" s="156"/>
      <c r="AG233" s="156"/>
      <c r="AH233" s="156"/>
      <c r="AI233" s="690"/>
      <c r="AJ233" s="153"/>
      <c r="AK233" s="153"/>
      <c r="AL233" s="153"/>
      <c r="AM233" s="153"/>
      <c r="AN233" s="153"/>
      <c r="AO233" s="153"/>
      <c r="AP233" s="153"/>
      <c r="AQ233" s="153"/>
      <c r="AR233" s="153"/>
      <c r="AS233" s="810"/>
      <c r="AT233" s="173"/>
      <c r="AU233" s="153"/>
      <c r="AV233" s="156"/>
      <c r="AW233" s="153"/>
      <c r="AX233" s="156"/>
      <c r="AY233" s="153"/>
      <c r="AZ233" s="153"/>
      <c r="BA233" s="156"/>
      <c r="BB233" s="684"/>
      <c r="BC233" s="157"/>
      <c r="BD233" s="521"/>
      <c r="BE233" s="521"/>
      <c r="BF233" s="521"/>
      <c r="BG233" s="521"/>
      <c r="BH233" s="521"/>
      <c r="BI233" s="521"/>
      <c r="BJ233" s="795"/>
      <c r="BK233" s="523"/>
      <c r="BL233" s="521"/>
      <c r="BN233" s="343"/>
      <c r="BO233" s="343"/>
      <c r="BP233" s="343"/>
    </row>
    <row r="234" spans="1:68" ht="76.5">
      <c r="A234" s="149"/>
      <c r="B234" s="158"/>
      <c r="C234" s="151"/>
      <c r="D234" s="150"/>
      <c r="E234" s="767"/>
      <c r="F234" s="159"/>
      <c r="G234" s="159"/>
      <c r="H234" s="159"/>
      <c r="I234" s="170" t="s">
        <v>1109</v>
      </c>
      <c r="J234" s="159" t="s">
        <v>659</v>
      </c>
      <c r="K234" s="158" t="s">
        <v>1108</v>
      </c>
      <c r="L234" s="160"/>
      <c r="M234" s="160" t="s">
        <v>541</v>
      </c>
      <c r="N234" s="160"/>
      <c r="O234" s="158" t="s">
        <v>1095</v>
      </c>
      <c r="P234" s="160"/>
      <c r="Q234" s="160" t="s">
        <v>1096</v>
      </c>
      <c r="R234" s="160"/>
      <c r="S234" s="170" t="s">
        <v>1109</v>
      </c>
      <c r="T234" s="153"/>
      <c r="U234" s="160" t="s">
        <v>1110</v>
      </c>
      <c r="V234" s="520"/>
      <c r="W234" s="798"/>
      <c r="X234" s="159"/>
      <c r="Y234" s="158"/>
      <c r="Z234" s="158"/>
      <c r="AA234" s="158"/>
      <c r="AB234" s="158"/>
      <c r="AC234" s="502"/>
      <c r="AD234" s="695"/>
      <c r="AE234" s="159" t="s">
        <v>1111</v>
      </c>
      <c r="AF234" s="158"/>
      <c r="AG234" s="158"/>
      <c r="AH234" s="158"/>
      <c r="AI234" s="695"/>
      <c r="AJ234" s="161"/>
      <c r="AK234" s="161"/>
      <c r="AL234" s="161"/>
      <c r="AM234" s="161"/>
      <c r="AN234" s="161"/>
      <c r="AO234" s="161"/>
      <c r="AP234" s="161"/>
      <c r="AQ234" s="161"/>
      <c r="AR234" s="161"/>
      <c r="AS234" s="678"/>
      <c r="AT234" s="185"/>
      <c r="AU234" s="162"/>
      <c r="AV234" s="163"/>
      <c r="AW234" s="164"/>
      <c r="AX234" s="163"/>
      <c r="AY234" s="162"/>
      <c r="AZ234" s="164"/>
      <c r="BA234" s="163"/>
      <c r="BB234" s="695"/>
      <c r="BC234" s="165"/>
      <c r="BD234" s="522"/>
      <c r="BE234" s="522"/>
      <c r="BF234" s="522"/>
      <c r="BG234" s="522"/>
      <c r="BH234" s="522"/>
      <c r="BI234" s="522"/>
      <c r="BJ234" s="806"/>
      <c r="BK234" s="524"/>
      <c r="BL234" s="522"/>
      <c r="BN234" s="343"/>
      <c r="BO234" s="343"/>
      <c r="BP234" s="343"/>
    </row>
    <row r="235" spans="1:68">
      <c r="A235" s="149">
        <v>154</v>
      </c>
      <c r="B235" s="150" t="s">
        <v>150</v>
      </c>
      <c r="C235" s="151" t="s">
        <v>1112</v>
      </c>
      <c r="D235" s="150"/>
      <c r="E235" s="767"/>
      <c r="F235" s="152" t="s">
        <v>1996</v>
      </c>
      <c r="G235" s="152" t="s">
        <v>1996</v>
      </c>
      <c r="H235" s="152" t="s">
        <v>1416</v>
      </c>
      <c r="I235" s="150">
        <v>9.1</v>
      </c>
      <c r="J235" s="152">
        <v>261.11500000000001</v>
      </c>
      <c r="K235" s="148">
        <v>815</v>
      </c>
      <c r="L235" s="167">
        <v>20</v>
      </c>
      <c r="M235" s="156">
        <v>5.0000000000000002E-5</v>
      </c>
      <c r="N235" s="154">
        <v>20</v>
      </c>
      <c r="O235" s="156">
        <v>1.06E-5</v>
      </c>
      <c r="P235" s="154">
        <v>10</v>
      </c>
      <c r="Q235" s="156"/>
      <c r="R235" s="156"/>
      <c r="S235" s="153">
        <v>1.86</v>
      </c>
      <c r="T235" s="153">
        <f>10^S235</f>
        <v>72.443596007499067</v>
      </c>
      <c r="U235" s="153">
        <v>1.83</v>
      </c>
      <c r="V235" s="520">
        <f>10^U235</f>
        <v>67.60829753919819</v>
      </c>
      <c r="W235" s="680"/>
      <c r="X235" s="512"/>
      <c r="Y235" s="156"/>
      <c r="Z235" s="156"/>
      <c r="AA235" s="156"/>
      <c r="AB235" s="156"/>
      <c r="AC235" s="501"/>
      <c r="AD235" s="690"/>
      <c r="AE235" s="512"/>
      <c r="AF235" s="156"/>
      <c r="AG235" s="150"/>
      <c r="AH235" s="150"/>
      <c r="AI235" s="684"/>
      <c r="AJ235" s="153"/>
      <c r="AK235" s="153"/>
      <c r="AL235" s="153"/>
      <c r="AM235" s="153"/>
      <c r="AN235" s="153"/>
      <c r="AO235" s="153"/>
      <c r="AP235" s="153"/>
      <c r="AQ235" s="153"/>
      <c r="AR235" s="153"/>
      <c r="AS235" s="810"/>
      <c r="AT235" s="173"/>
      <c r="AU235" s="153"/>
      <c r="AV235" s="156"/>
      <c r="AW235" s="153"/>
      <c r="AX235" s="156"/>
      <c r="AY235" s="153"/>
      <c r="AZ235" s="153"/>
      <c r="BA235" s="156"/>
      <c r="BB235" s="684"/>
      <c r="BC235" s="157"/>
      <c r="BD235" s="521"/>
      <c r="BE235" s="521"/>
      <c r="BF235" s="521"/>
      <c r="BG235" s="521"/>
      <c r="BH235" s="521"/>
      <c r="BI235" s="521"/>
      <c r="BJ235" s="795"/>
      <c r="BK235" s="523"/>
      <c r="BL235" s="521"/>
      <c r="BN235" s="343"/>
      <c r="BO235" s="343"/>
      <c r="BP235" s="343"/>
    </row>
    <row r="236" spans="1:68" ht="102">
      <c r="A236" s="149"/>
      <c r="B236" s="158"/>
      <c r="C236" s="151"/>
      <c r="D236" s="150"/>
      <c r="E236" s="767"/>
      <c r="F236" s="159"/>
      <c r="G236" s="159"/>
      <c r="H236" s="159"/>
      <c r="I236" s="158" t="s">
        <v>1117</v>
      </c>
      <c r="J236" s="159" t="s">
        <v>659</v>
      </c>
      <c r="K236" s="160" t="s">
        <v>1113</v>
      </c>
      <c r="L236" s="160"/>
      <c r="M236" s="160" t="s">
        <v>1114</v>
      </c>
      <c r="N236" s="160"/>
      <c r="O236" s="155" t="s">
        <v>654</v>
      </c>
      <c r="P236" s="160"/>
      <c r="Q236" s="160" t="s">
        <v>1096</v>
      </c>
      <c r="R236" s="160"/>
      <c r="S236" s="160" t="s">
        <v>1115</v>
      </c>
      <c r="T236" s="153"/>
      <c r="U236" s="160" t="s">
        <v>1116</v>
      </c>
      <c r="V236" s="520"/>
      <c r="W236" s="796"/>
      <c r="X236" s="159"/>
      <c r="Y236" s="158"/>
      <c r="Z236" s="158"/>
      <c r="AA236" s="158"/>
      <c r="AB236" s="158"/>
      <c r="AC236" s="502"/>
      <c r="AD236" s="695"/>
      <c r="AE236" s="159"/>
      <c r="AF236" s="158"/>
      <c r="AG236" s="158"/>
      <c r="AH236" s="158"/>
      <c r="AI236" s="695"/>
      <c r="AJ236" s="161"/>
      <c r="AK236" s="161"/>
      <c r="AL236" s="161"/>
      <c r="AM236" s="161"/>
      <c r="AN236" s="161"/>
      <c r="AO236" s="161"/>
      <c r="AP236" s="161"/>
      <c r="AQ236" s="161"/>
      <c r="AR236" s="161"/>
      <c r="AS236" s="678"/>
      <c r="AT236" s="185"/>
      <c r="AU236" s="162"/>
      <c r="AV236" s="163"/>
      <c r="AW236" s="164"/>
      <c r="AX236" s="163"/>
      <c r="AY236" s="162"/>
      <c r="AZ236" s="164"/>
      <c r="BA236" s="163"/>
      <c r="BB236" s="695"/>
      <c r="BC236" s="165"/>
      <c r="BD236" s="522"/>
      <c r="BE236" s="522"/>
      <c r="BF236" s="522"/>
      <c r="BG236" s="522"/>
      <c r="BH236" s="522"/>
      <c r="BI236" s="522"/>
      <c r="BJ236" s="806"/>
      <c r="BK236" s="524"/>
      <c r="BL236" s="522"/>
      <c r="BN236" s="343"/>
      <c r="BO236" s="343"/>
      <c r="BP236" s="343"/>
    </row>
    <row r="237" spans="1:68">
      <c r="A237" s="149">
        <v>155</v>
      </c>
      <c r="B237" s="150" t="s">
        <v>406</v>
      </c>
      <c r="C237" s="151" t="s">
        <v>1118</v>
      </c>
      <c r="D237" s="150"/>
      <c r="E237" s="767"/>
      <c r="F237" s="152" t="s">
        <v>1996</v>
      </c>
      <c r="G237" s="152" t="s">
        <v>1996</v>
      </c>
      <c r="H237" s="152" t="s">
        <v>845</v>
      </c>
      <c r="I237" s="150">
        <v>4.4800000000000004</v>
      </c>
      <c r="J237" s="152">
        <v>191.18600000000001</v>
      </c>
      <c r="K237" s="148">
        <v>8</v>
      </c>
      <c r="L237" s="167">
        <v>20</v>
      </c>
      <c r="M237" s="156">
        <v>9.0000000000000006E-5</v>
      </c>
      <c r="N237" s="154">
        <v>20</v>
      </c>
      <c r="O237" s="156">
        <v>1.55E-6</v>
      </c>
      <c r="P237" s="154">
        <v>10</v>
      </c>
      <c r="Q237" s="156"/>
      <c r="R237" s="156"/>
      <c r="S237" s="153">
        <v>1.5</v>
      </c>
      <c r="T237" s="153">
        <f>10^S237</f>
        <v>31.622776601683803</v>
      </c>
      <c r="U237" s="153">
        <v>2.48</v>
      </c>
      <c r="V237" s="520">
        <f>10^U237</f>
        <v>301.99517204020168</v>
      </c>
      <c r="W237" s="795"/>
      <c r="X237" s="512"/>
      <c r="Y237" s="156"/>
      <c r="Z237" s="156"/>
      <c r="AA237" s="156"/>
      <c r="AB237" s="156"/>
      <c r="AC237" s="501"/>
      <c r="AD237" s="690"/>
      <c r="AE237" s="512">
        <v>0.02</v>
      </c>
      <c r="AF237" s="156"/>
      <c r="AG237" s="156"/>
      <c r="AH237" s="150"/>
      <c r="AI237" s="684"/>
      <c r="AJ237" s="153"/>
      <c r="AK237" s="153"/>
      <c r="AL237" s="153"/>
      <c r="AM237" s="153"/>
      <c r="AN237" s="153"/>
      <c r="AO237" s="153"/>
      <c r="AP237" s="153"/>
      <c r="AQ237" s="153"/>
      <c r="AR237" s="153"/>
      <c r="AS237" s="810"/>
      <c r="AT237" s="173"/>
      <c r="AU237" s="153"/>
      <c r="AV237" s="156"/>
      <c r="AW237" s="153"/>
      <c r="AX237" s="156"/>
      <c r="AY237" s="153"/>
      <c r="AZ237" s="153"/>
      <c r="BA237" s="156"/>
      <c r="BB237" s="684"/>
      <c r="BC237" s="157"/>
      <c r="BD237" s="521"/>
      <c r="BE237" s="521"/>
      <c r="BF237" s="521"/>
      <c r="BG237" s="521"/>
      <c r="BH237" s="521"/>
      <c r="BI237" s="521"/>
      <c r="BJ237" s="795"/>
      <c r="BK237" s="523"/>
      <c r="BL237" s="521"/>
      <c r="BN237" s="343"/>
      <c r="BO237" s="343"/>
      <c r="BP237" s="343"/>
    </row>
    <row r="238" spans="1:68" ht="102">
      <c r="A238" s="149"/>
      <c r="B238" s="158"/>
      <c r="C238" s="151"/>
      <c r="D238" s="150"/>
      <c r="E238" s="767"/>
      <c r="F238" s="159"/>
      <c r="G238" s="159"/>
      <c r="H238" s="159"/>
      <c r="I238" s="158" t="s">
        <v>659</v>
      </c>
      <c r="J238" s="159" t="s">
        <v>659</v>
      </c>
      <c r="K238" s="160" t="s">
        <v>1113</v>
      </c>
      <c r="L238" s="160"/>
      <c r="M238" s="160" t="s">
        <v>1113</v>
      </c>
      <c r="N238" s="160"/>
      <c r="O238" s="155" t="s">
        <v>654</v>
      </c>
      <c r="P238" s="160"/>
      <c r="Q238" s="160" t="s">
        <v>1096</v>
      </c>
      <c r="R238" s="160"/>
      <c r="S238" s="160" t="s">
        <v>1119</v>
      </c>
      <c r="T238" s="153"/>
      <c r="U238" s="160" t="s">
        <v>1120</v>
      </c>
      <c r="V238" s="520"/>
      <c r="W238" s="796"/>
      <c r="X238" s="159"/>
      <c r="Y238" s="158"/>
      <c r="Z238" s="158"/>
      <c r="AA238" s="158"/>
      <c r="AB238" s="158"/>
      <c r="AC238" s="502"/>
      <c r="AD238" s="695"/>
      <c r="AE238" s="159" t="s">
        <v>1121</v>
      </c>
      <c r="AF238" s="158"/>
      <c r="AG238" s="158"/>
      <c r="AH238" s="158"/>
      <c r="AI238" s="695"/>
      <c r="AJ238" s="161"/>
      <c r="AK238" s="161"/>
      <c r="AL238" s="161"/>
      <c r="AM238" s="161"/>
      <c r="AN238" s="161"/>
      <c r="AO238" s="161"/>
      <c r="AP238" s="161"/>
      <c r="AQ238" s="161"/>
      <c r="AR238" s="161"/>
      <c r="AS238" s="678"/>
      <c r="AT238" s="185"/>
      <c r="AU238" s="162"/>
      <c r="AV238" s="163"/>
      <c r="AW238" s="164"/>
      <c r="AX238" s="163"/>
      <c r="AY238" s="162"/>
      <c r="AZ238" s="164"/>
      <c r="BA238" s="163"/>
      <c r="BB238" s="695"/>
      <c r="BC238" s="165"/>
      <c r="BD238" s="522"/>
      <c r="BE238" s="522"/>
      <c r="BF238" s="522"/>
      <c r="BG238" s="522"/>
      <c r="BH238" s="522"/>
      <c r="BI238" s="522"/>
      <c r="BJ238" s="806"/>
      <c r="BK238" s="524"/>
      <c r="BL238" s="522"/>
      <c r="BN238" s="343"/>
      <c r="BO238" s="343"/>
      <c r="BP238" s="343"/>
    </row>
    <row r="239" spans="1:68">
      <c r="A239" s="149">
        <v>156</v>
      </c>
      <c r="B239" s="150" t="s">
        <v>151</v>
      </c>
      <c r="C239" s="151" t="s">
        <v>1122</v>
      </c>
      <c r="D239" s="150"/>
      <c r="E239" s="767"/>
      <c r="F239" s="152" t="s">
        <v>1996</v>
      </c>
      <c r="G239" s="152" t="s">
        <v>1996</v>
      </c>
      <c r="H239" s="152" t="s">
        <v>1416</v>
      </c>
      <c r="I239" s="150">
        <v>11.3</v>
      </c>
      <c r="J239" s="152">
        <v>236.267</v>
      </c>
      <c r="K239" s="148">
        <v>3500</v>
      </c>
      <c r="L239" s="167">
        <v>20</v>
      </c>
      <c r="M239" s="156">
        <v>1E-3</v>
      </c>
      <c r="N239" s="154">
        <v>20</v>
      </c>
      <c r="O239" s="156" t="s">
        <v>541</v>
      </c>
      <c r="P239" s="154" t="s">
        <v>541</v>
      </c>
      <c r="Q239" s="156"/>
      <c r="R239" s="156"/>
      <c r="S239" s="153">
        <v>1.63</v>
      </c>
      <c r="T239" s="153">
        <f>10^S239</f>
        <v>42.657951880159267</v>
      </c>
      <c r="U239" s="153">
        <v>1.24</v>
      </c>
      <c r="V239" s="520">
        <f>10^U239</f>
        <v>17.378008287493756</v>
      </c>
      <c r="W239" s="795"/>
      <c r="X239" s="512"/>
      <c r="Y239" s="156"/>
      <c r="Z239" s="156"/>
      <c r="AA239" s="156"/>
      <c r="AB239" s="156"/>
      <c r="AC239" s="501"/>
      <c r="AD239" s="690"/>
      <c r="AE239" s="512"/>
      <c r="AF239" s="156"/>
      <c r="AG239" s="156"/>
      <c r="AH239" s="156"/>
      <c r="AI239" s="690"/>
      <c r="AJ239" s="153"/>
      <c r="AK239" s="153"/>
      <c r="AL239" s="153"/>
      <c r="AM239" s="153"/>
      <c r="AN239" s="153"/>
      <c r="AO239" s="153"/>
      <c r="AP239" s="153"/>
      <c r="AQ239" s="153"/>
      <c r="AR239" s="153"/>
      <c r="AS239" s="810"/>
      <c r="AT239" s="173"/>
      <c r="AU239" s="153"/>
      <c r="AV239" s="156"/>
      <c r="AW239" s="153"/>
      <c r="AX239" s="156"/>
      <c r="AY239" s="153"/>
      <c r="AZ239" s="153"/>
      <c r="BA239" s="156"/>
      <c r="BB239" s="684"/>
      <c r="BC239" s="157"/>
      <c r="BD239" s="521"/>
      <c r="BE239" s="521"/>
      <c r="BF239" s="521"/>
      <c r="BG239" s="521"/>
      <c r="BH239" s="521"/>
      <c r="BI239" s="521"/>
      <c r="BJ239" s="795"/>
      <c r="BK239" s="523"/>
      <c r="BL239" s="521"/>
      <c r="BN239" s="343"/>
      <c r="BO239" s="343"/>
      <c r="BP239" s="343"/>
    </row>
    <row r="240" spans="1:68" ht="38.25">
      <c r="A240" s="149"/>
      <c r="B240" s="158"/>
      <c r="C240" s="151"/>
      <c r="D240" s="150"/>
      <c r="E240" s="767"/>
      <c r="F240" s="159"/>
      <c r="G240" s="159"/>
      <c r="H240" s="159"/>
      <c r="I240" s="158" t="s">
        <v>1128</v>
      </c>
      <c r="J240" s="159" t="s">
        <v>1123</v>
      </c>
      <c r="K240" s="158" t="s">
        <v>1124</v>
      </c>
      <c r="L240" s="160"/>
      <c r="M240" s="160" t="s">
        <v>1125</v>
      </c>
      <c r="N240" s="160"/>
      <c r="O240" s="155"/>
      <c r="P240" s="160"/>
      <c r="Q240" s="160" t="s">
        <v>1096</v>
      </c>
      <c r="R240" s="160"/>
      <c r="S240" s="160" t="s">
        <v>1126</v>
      </c>
      <c r="T240" s="153"/>
      <c r="U240" s="160" t="s">
        <v>1127</v>
      </c>
      <c r="V240" s="520"/>
      <c r="W240" s="796"/>
      <c r="X240" s="159"/>
      <c r="Y240" s="158"/>
      <c r="Z240" s="158"/>
      <c r="AA240" s="158"/>
      <c r="AB240" s="158"/>
      <c r="AC240" s="502"/>
      <c r="AD240" s="695"/>
      <c r="AE240" s="159"/>
      <c r="AF240" s="158"/>
      <c r="AG240" s="158"/>
      <c r="AH240" s="158"/>
      <c r="AI240" s="695"/>
      <c r="AJ240" s="161"/>
      <c r="AK240" s="161"/>
      <c r="AL240" s="161"/>
      <c r="AM240" s="161"/>
      <c r="AN240" s="161"/>
      <c r="AO240" s="161"/>
      <c r="AP240" s="161"/>
      <c r="AQ240" s="161"/>
      <c r="AR240" s="161"/>
      <c r="AS240" s="678"/>
      <c r="AT240" s="185"/>
      <c r="AU240" s="162"/>
      <c r="AV240" s="163"/>
      <c r="AW240" s="164"/>
      <c r="AX240" s="163"/>
      <c r="AY240" s="162"/>
      <c r="AZ240" s="164"/>
      <c r="BA240" s="163"/>
      <c r="BB240" s="695"/>
      <c r="BC240" s="165"/>
      <c r="BD240" s="522"/>
      <c r="BE240" s="522"/>
      <c r="BF240" s="522"/>
      <c r="BG240" s="522"/>
      <c r="BH240" s="522"/>
      <c r="BI240" s="522"/>
      <c r="BJ240" s="806"/>
      <c r="BK240" s="524"/>
      <c r="BL240" s="522"/>
      <c r="BN240" s="343"/>
      <c r="BO240" s="343"/>
      <c r="BP240" s="343"/>
    </row>
    <row r="241" spans="1:68">
      <c r="A241" s="149">
        <v>157</v>
      </c>
      <c r="B241" s="150" t="s">
        <v>152</v>
      </c>
      <c r="C241" s="151" t="s">
        <v>1129</v>
      </c>
      <c r="D241" s="150"/>
      <c r="E241" s="767"/>
      <c r="F241" s="152" t="s">
        <v>1996</v>
      </c>
      <c r="G241" s="152" t="s">
        <v>1996</v>
      </c>
      <c r="H241" s="152" t="s">
        <v>1416</v>
      </c>
      <c r="I241" s="150">
        <v>3.38</v>
      </c>
      <c r="J241" s="152">
        <v>221.643</v>
      </c>
      <c r="K241" s="148">
        <v>400</v>
      </c>
      <c r="L241" s="167">
        <v>20</v>
      </c>
      <c r="M241" s="156">
        <v>6.0000000000000002E-5</v>
      </c>
      <c r="N241" s="154">
        <v>20</v>
      </c>
      <c r="O241" s="156">
        <v>3.3699999999999999E-5</v>
      </c>
      <c r="P241" s="154">
        <v>10</v>
      </c>
      <c r="Q241" s="156"/>
      <c r="R241" s="156"/>
      <c r="S241" s="153">
        <v>1.3</v>
      </c>
      <c r="T241" s="153">
        <f>10^S241</f>
        <v>19.952623149688804</v>
      </c>
      <c r="U241" s="153">
        <v>2.27</v>
      </c>
      <c r="V241" s="520">
        <f>10^U241</f>
        <v>186.20871366628685</v>
      </c>
      <c r="W241" s="680"/>
      <c r="X241" s="512"/>
      <c r="Y241" s="156"/>
      <c r="Z241" s="156"/>
      <c r="AA241" s="156"/>
      <c r="AB241" s="156"/>
      <c r="AC241" s="501"/>
      <c r="AD241" s="690"/>
      <c r="AE241" s="512">
        <v>0.1</v>
      </c>
      <c r="AF241" s="156"/>
      <c r="AG241" s="150"/>
      <c r="AH241" s="150"/>
      <c r="AI241" s="684"/>
      <c r="AJ241" s="153"/>
      <c r="AK241" s="153"/>
      <c r="AL241" s="153"/>
      <c r="AM241" s="153"/>
      <c r="AN241" s="153"/>
      <c r="AO241" s="153"/>
      <c r="AP241" s="153"/>
      <c r="AQ241" s="153"/>
      <c r="AR241" s="153"/>
      <c r="AS241" s="810"/>
      <c r="AT241" s="173"/>
      <c r="AU241" s="153"/>
      <c r="AV241" s="156"/>
      <c r="AW241" s="153"/>
      <c r="AX241" s="156"/>
      <c r="AY241" s="153"/>
      <c r="AZ241" s="153"/>
      <c r="BA241" s="156"/>
      <c r="BB241" s="684"/>
      <c r="BC241" s="157"/>
      <c r="BD241" s="521"/>
      <c r="BE241" s="521"/>
      <c r="BF241" s="521"/>
      <c r="BG241" s="521"/>
      <c r="BH241" s="521"/>
      <c r="BI241" s="521"/>
      <c r="BJ241" s="795"/>
      <c r="BK241" s="523"/>
      <c r="BL241" s="521"/>
      <c r="BN241" s="343"/>
      <c r="BO241" s="343"/>
      <c r="BP241" s="343"/>
    </row>
    <row r="242" spans="1:68" ht="102">
      <c r="A242" s="149"/>
      <c r="B242" s="158"/>
      <c r="C242" s="151"/>
      <c r="D242" s="150"/>
      <c r="E242" s="767"/>
      <c r="F242" s="159"/>
      <c r="G242" s="159"/>
      <c r="H242" s="159"/>
      <c r="I242" s="170" t="s">
        <v>1135</v>
      </c>
      <c r="J242" s="159" t="s">
        <v>941</v>
      </c>
      <c r="K242" s="160" t="s">
        <v>1130</v>
      </c>
      <c r="L242" s="160"/>
      <c r="M242" s="158" t="s">
        <v>1131</v>
      </c>
      <c r="N242" s="160"/>
      <c r="O242" s="155" t="s">
        <v>1132</v>
      </c>
      <c r="P242" s="160"/>
      <c r="Q242" s="160" t="s">
        <v>1096</v>
      </c>
      <c r="R242" s="160"/>
      <c r="S242" s="160" t="s">
        <v>1133</v>
      </c>
      <c r="T242" s="153"/>
      <c r="U242" s="160" t="s">
        <v>1134</v>
      </c>
      <c r="V242" s="520"/>
      <c r="W242" s="796"/>
      <c r="X242" s="159"/>
      <c r="Y242" s="158"/>
      <c r="Z242" s="158"/>
      <c r="AA242" s="158"/>
      <c r="AB242" s="158"/>
      <c r="AC242" s="502"/>
      <c r="AD242" s="695"/>
      <c r="AE242" s="159" t="s">
        <v>1121</v>
      </c>
      <c r="AF242" s="158"/>
      <c r="AG242" s="158"/>
      <c r="AH242" s="158"/>
      <c r="AI242" s="695"/>
      <c r="AJ242" s="161"/>
      <c r="AK242" s="161"/>
      <c r="AL242" s="161"/>
      <c r="AM242" s="161"/>
      <c r="AN242" s="161"/>
      <c r="AO242" s="161"/>
      <c r="AP242" s="161"/>
      <c r="AQ242" s="161"/>
      <c r="AR242" s="161"/>
      <c r="AS242" s="678"/>
      <c r="AT242" s="185"/>
      <c r="AU242" s="162" t="s">
        <v>541</v>
      </c>
      <c r="AV242" s="163"/>
      <c r="AW242" s="164" t="s">
        <v>541</v>
      </c>
      <c r="AX242" s="163"/>
      <c r="AY242" s="162"/>
      <c r="AZ242" s="164" t="s">
        <v>541</v>
      </c>
      <c r="BA242" s="163"/>
      <c r="BB242" s="695"/>
      <c r="BC242" s="165"/>
      <c r="BD242" s="522"/>
      <c r="BE242" s="522"/>
      <c r="BF242" s="522"/>
      <c r="BG242" s="522"/>
      <c r="BH242" s="522"/>
      <c r="BI242" s="522"/>
      <c r="BJ242" s="806"/>
      <c r="BK242" s="524" t="s">
        <v>541</v>
      </c>
      <c r="BL242" s="522" t="s">
        <v>541</v>
      </c>
      <c r="BN242" s="343"/>
      <c r="BO242" s="343"/>
      <c r="BP242" s="343"/>
    </row>
    <row r="243" spans="1:68">
      <c r="A243" s="149">
        <v>158</v>
      </c>
      <c r="B243" s="150" t="s">
        <v>407</v>
      </c>
      <c r="C243" s="151" t="s">
        <v>1136</v>
      </c>
      <c r="D243" s="150"/>
      <c r="E243" s="767"/>
      <c r="F243" s="152" t="s">
        <v>1996</v>
      </c>
      <c r="G243" s="150" t="s">
        <v>541</v>
      </c>
      <c r="H243" s="150" t="s">
        <v>541</v>
      </c>
      <c r="I243" s="150" t="s">
        <v>541</v>
      </c>
      <c r="J243" s="152">
        <v>213.661</v>
      </c>
      <c r="K243" s="148">
        <v>108</v>
      </c>
      <c r="L243" s="167">
        <v>20</v>
      </c>
      <c r="M243" s="156">
        <v>2.4E-2</v>
      </c>
      <c r="N243" s="154">
        <v>20</v>
      </c>
      <c r="O243" s="156">
        <v>3.2000000000000002E-3</v>
      </c>
      <c r="P243" s="154">
        <v>10</v>
      </c>
      <c r="Q243" s="156"/>
      <c r="R243" s="156"/>
      <c r="S243" s="150">
        <v>3.31</v>
      </c>
      <c r="T243" s="153">
        <f>10^S243</f>
        <v>2041.7379446695318</v>
      </c>
      <c r="U243" s="150">
        <v>2.63</v>
      </c>
      <c r="V243" s="520">
        <f>10^U243</f>
        <v>426.57951880159294</v>
      </c>
      <c r="W243" s="795"/>
      <c r="X243" s="512"/>
      <c r="Y243" s="156"/>
      <c r="Z243" s="156"/>
      <c r="AA243" s="156"/>
      <c r="AB243" s="156"/>
      <c r="AC243" s="501"/>
      <c r="AD243" s="690"/>
      <c r="AE243" s="512">
        <v>0.05</v>
      </c>
      <c r="AF243" s="156"/>
      <c r="AG243" s="150"/>
      <c r="AH243" s="150"/>
      <c r="AI243" s="684"/>
      <c r="AJ243" s="153"/>
      <c r="AK243" s="153"/>
      <c r="AL243" s="153"/>
      <c r="AM243" s="153"/>
      <c r="AN243" s="153"/>
      <c r="AO243" s="153"/>
      <c r="AP243" s="153"/>
      <c r="AQ243" s="153"/>
      <c r="AR243" s="153"/>
      <c r="AS243" s="810"/>
      <c r="AT243" s="173"/>
      <c r="AU243" s="153"/>
      <c r="AV243" s="156"/>
      <c r="AW243" s="153"/>
      <c r="AX243" s="156"/>
      <c r="AY243" s="153"/>
      <c r="AZ243" s="153"/>
      <c r="BA243" s="156"/>
      <c r="BB243" s="684"/>
      <c r="BC243" s="157"/>
      <c r="BD243" s="521"/>
      <c r="BE243" s="521"/>
      <c r="BF243" s="521"/>
      <c r="BG243" s="521"/>
      <c r="BH243" s="521"/>
      <c r="BI243" s="521"/>
      <c r="BJ243" s="795"/>
      <c r="BK243" s="523"/>
      <c r="BL243" s="521"/>
      <c r="BN243" s="343"/>
      <c r="BO243" s="343"/>
      <c r="BP243" s="343"/>
    </row>
    <row r="244" spans="1:68" ht="102">
      <c r="A244" s="149"/>
      <c r="B244" s="158"/>
      <c r="C244" s="151"/>
      <c r="D244" s="150"/>
      <c r="E244" s="767"/>
      <c r="F244" s="159"/>
      <c r="G244" s="159"/>
      <c r="H244" s="159"/>
      <c r="I244" s="170" t="s">
        <v>1139</v>
      </c>
      <c r="J244" s="159" t="s">
        <v>941</v>
      </c>
      <c r="K244" s="160" t="s">
        <v>1137</v>
      </c>
      <c r="L244" s="160"/>
      <c r="M244" s="160" t="s">
        <v>1131</v>
      </c>
      <c r="N244" s="160"/>
      <c r="O244" s="155" t="s">
        <v>654</v>
      </c>
      <c r="P244" s="171"/>
      <c r="Q244" s="160" t="s">
        <v>1096</v>
      </c>
      <c r="R244" s="160"/>
      <c r="S244" s="160" t="s">
        <v>1133</v>
      </c>
      <c r="T244" s="153"/>
      <c r="U244" s="160" t="s">
        <v>1138</v>
      </c>
      <c r="V244" s="520"/>
      <c r="W244" s="796"/>
      <c r="X244" s="159"/>
      <c r="Y244" s="158"/>
      <c r="Z244" s="158"/>
      <c r="AA244" s="158"/>
      <c r="AB244" s="158"/>
      <c r="AC244" s="502"/>
      <c r="AD244" s="695"/>
      <c r="AE244" s="159" t="s">
        <v>1140</v>
      </c>
      <c r="AF244" s="158"/>
      <c r="AG244" s="158"/>
      <c r="AH244" s="158"/>
      <c r="AI244" s="695"/>
      <c r="AJ244" s="161"/>
      <c r="AK244" s="161"/>
      <c r="AL244" s="161"/>
      <c r="AM244" s="161"/>
      <c r="AN244" s="161"/>
      <c r="AO244" s="161"/>
      <c r="AP244" s="161"/>
      <c r="AQ244" s="161"/>
      <c r="AR244" s="161"/>
      <c r="AS244" s="678"/>
      <c r="AT244" s="185"/>
      <c r="AU244" s="162" t="s">
        <v>541</v>
      </c>
      <c r="AV244" s="163"/>
      <c r="AW244" s="164" t="s">
        <v>541</v>
      </c>
      <c r="AX244" s="163"/>
      <c r="AY244" s="162" t="s">
        <v>541</v>
      </c>
      <c r="AZ244" s="164" t="s">
        <v>541</v>
      </c>
      <c r="BA244" s="163"/>
      <c r="BB244" s="695"/>
      <c r="BC244" s="165"/>
      <c r="BD244" s="522"/>
      <c r="BE244" s="522"/>
      <c r="BF244" s="522"/>
      <c r="BG244" s="522"/>
      <c r="BH244" s="522"/>
      <c r="BI244" s="522"/>
      <c r="BJ244" s="806"/>
      <c r="BK244" s="524" t="s">
        <v>541</v>
      </c>
      <c r="BL244" s="522" t="s">
        <v>541</v>
      </c>
      <c r="BN244" s="343"/>
      <c r="BO244" s="343"/>
      <c r="BP244" s="343"/>
    </row>
    <row r="245" spans="1:68">
      <c r="A245" s="149">
        <v>159</v>
      </c>
      <c r="B245" s="150" t="s">
        <v>171</v>
      </c>
      <c r="C245" s="172" t="s">
        <v>1141</v>
      </c>
      <c r="D245" s="148"/>
      <c r="E245" s="766"/>
      <c r="F245" s="152" t="s">
        <v>1996</v>
      </c>
      <c r="G245" s="150" t="s">
        <v>541</v>
      </c>
      <c r="H245" s="150" t="s">
        <v>541</v>
      </c>
      <c r="I245" s="150" t="s">
        <v>541</v>
      </c>
      <c r="J245" s="152">
        <v>212.67500000000001</v>
      </c>
      <c r="K245" s="148">
        <v>70</v>
      </c>
      <c r="L245" s="167">
        <v>20</v>
      </c>
      <c r="M245" s="156">
        <v>1.7E-5</v>
      </c>
      <c r="N245" s="154">
        <v>20</v>
      </c>
      <c r="O245" s="156">
        <v>5.1700000000000003E-5</v>
      </c>
      <c r="P245" s="154">
        <v>10</v>
      </c>
      <c r="Q245" s="156"/>
      <c r="R245" s="156"/>
      <c r="S245" s="153">
        <v>2.34</v>
      </c>
      <c r="T245" s="153">
        <f>10^S245</f>
        <v>218.77616239495524</v>
      </c>
      <c r="U245" s="153">
        <v>2.3199999999999998</v>
      </c>
      <c r="V245" s="520">
        <f>10^U245</f>
        <v>208.92961308540396</v>
      </c>
      <c r="W245" s="690"/>
      <c r="X245" s="512"/>
      <c r="Y245" s="156"/>
      <c r="Z245" s="156"/>
      <c r="AA245" s="156"/>
      <c r="AB245" s="156"/>
      <c r="AC245" s="501"/>
      <c r="AD245" s="690"/>
      <c r="AE245" s="512">
        <v>1.1299999999999999E-2</v>
      </c>
      <c r="AF245" s="156"/>
      <c r="AG245" s="156"/>
      <c r="AH245" s="156"/>
      <c r="AI245" s="690"/>
      <c r="AJ245" s="153"/>
      <c r="AK245" s="153"/>
      <c r="AL245" s="153"/>
      <c r="AM245" s="153"/>
      <c r="AN245" s="153"/>
      <c r="AO245" s="153"/>
      <c r="AP245" s="153"/>
      <c r="AQ245" s="153"/>
      <c r="AR245" s="153"/>
      <c r="AS245" s="810"/>
      <c r="AT245" s="173"/>
      <c r="AU245" s="153"/>
      <c r="AV245" s="156"/>
      <c r="AW245" s="153"/>
      <c r="AX245" s="156"/>
      <c r="AY245" s="153"/>
      <c r="AZ245" s="153"/>
      <c r="BA245" s="156"/>
      <c r="BB245" s="684"/>
      <c r="BC245" s="157"/>
      <c r="BD245" s="521"/>
      <c r="BE245" s="521"/>
      <c r="BF245" s="521"/>
      <c r="BG245" s="521"/>
      <c r="BH245" s="521"/>
      <c r="BI245" s="521"/>
      <c r="BJ245" s="795"/>
      <c r="BK245" s="523"/>
      <c r="BL245" s="521"/>
      <c r="BN245" s="343"/>
      <c r="BO245" s="343"/>
      <c r="BP245" s="343"/>
    </row>
    <row r="246" spans="1:68" ht="102">
      <c r="A246" s="149"/>
      <c r="B246" s="158"/>
      <c r="C246" s="172"/>
      <c r="D246" s="148"/>
      <c r="E246" s="766"/>
      <c r="F246" s="187"/>
      <c r="G246" s="187"/>
      <c r="H246" s="187"/>
      <c r="I246" s="170" t="s">
        <v>1139</v>
      </c>
      <c r="J246" s="187" t="s">
        <v>1142</v>
      </c>
      <c r="K246" s="160" t="s">
        <v>1143</v>
      </c>
      <c r="L246" s="160"/>
      <c r="M246" s="160" t="s">
        <v>1144</v>
      </c>
      <c r="N246" s="160"/>
      <c r="O246" s="155" t="s">
        <v>654</v>
      </c>
      <c r="P246" s="160"/>
      <c r="Q246" s="160" t="s">
        <v>1096</v>
      </c>
      <c r="R246" s="160"/>
      <c r="S246" s="160" t="s">
        <v>1145</v>
      </c>
      <c r="T246" s="153"/>
      <c r="U246" s="160" t="s">
        <v>1098</v>
      </c>
      <c r="V246" s="520"/>
      <c r="W246" s="684"/>
      <c r="X246" s="159"/>
      <c r="Y246" s="158"/>
      <c r="Z246" s="158"/>
      <c r="AA246" s="158"/>
      <c r="AB246" s="158"/>
      <c r="AC246" s="502"/>
      <c r="AD246" s="695"/>
      <c r="AE246" s="159" t="s">
        <v>1146</v>
      </c>
      <c r="AF246" s="161"/>
      <c r="AG246" s="163"/>
      <c r="AH246" s="163"/>
      <c r="AI246" s="708"/>
      <c r="AJ246" s="161"/>
      <c r="AK246" s="161"/>
      <c r="AL246" s="161"/>
      <c r="AM246" s="161"/>
      <c r="AN246" s="161"/>
      <c r="AO246" s="161"/>
      <c r="AP246" s="161"/>
      <c r="AQ246" s="161"/>
      <c r="AR246" s="161"/>
      <c r="AS246" s="678"/>
      <c r="AT246" s="185"/>
      <c r="AU246" s="162" t="s">
        <v>541</v>
      </c>
      <c r="AV246" s="163"/>
      <c r="AW246" s="164" t="s">
        <v>541</v>
      </c>
      <c r="AX246" s="163"/>
      <c r="AY246" s="162" t="s">
        <v>541</v>
      </c>
      <c r="AZ246" s="164" t="s">
        <v>541</v>
      </c>
      <c r="BA246" s="163"/>
      <c r="BB246" s="695"/>
      <c r="BC246" s="165"/>
      <c r="BD246" s="522"/>
      <c r="BE246" s="522"/>
      <c r="BF246" s="522"/>
      <c r="BG246" s="522"/>
      <c r="BH246" s="522"/>
      <c r="BI246" s="522"/>
      <c r="BJ246" s="806"/>
      <c r="BK246" s="524" t="s">
        <v>541</v>
      </c>
      <c r="BL246" s="522" t="s">
        <v>541</v>
      </c>
      <c r="BN246" s="343"/>
      <c r="BO246" s="343"/>
      <c r="BP246" s="343"/>
    </row>
    <row r="247" spans="1:68">
      <c r="A247" s="149">
        <v>160</v>
      </c>
      <c r="B247" s="156" t="s">
        <v>153</v>
      </c>
      <c r="C247" s="151" t="s">
        <v>1147</v>
      </c>
      <c r="D247" s="150"/>
      <c r="E247" s="767"/>
      <c r="F247" s="188" t="s">
        <v>1996</v>
      </c>
      <c r="G247" s="188" t="s">
        <v>1996</v>
      </c>
      <c r="H247" s="188" t="s">
        <v>1416</v>
      </c>
      <c r="I247" s="156">
        <v>0.63</v>
      </c>
      <c r="J247" s="188">
        <v>240.69200000000001</v>
      </c>
      <c r="K247" s="166">
        <v>170</v>
      </c>
      <c r="L247" s="167">
        <v>20</v>
      </c>
      <c r="M247" s="174">
        <v>2.1299999999999999E-7</v>
      </c>
      <c r="N247" s="167">
        <v>20</v>
      </c>
      <c r="O247" s="174">
        <v>2.9999999999999999E-7</v>
      </c>
      <c r="P247" s="167">
        <v>10</v>
      </c>
      <c r="Q247" s="156"/>
      <c r="R247" s="156"/>
      <c r="S247" s="153">
        <v>1.99</v>
      </c>
      <c r="T247" s="153">
        <f>10^S247</f>
        <v>97.723722095581124</v>
      </c>
      <c r="U247" s="153">
        <v>2.23</v>
      </c>
      <c r="V247" s="520">
        <f>10^U247</f>
        <v>169.82436524617444</v>
      </c>
      <c r="W247" s="684"/>
      <c r="X247" s="512"/>
      <c r="Y247" s="156"/>
      <c r="Z247" s="156"/>
      <c r="AA247" s="156"/>
      <c r="AB247" s="156"/>
      <c r="AC247" s="501"/>
      <c r="AD247" s="690"/>
      <c r="AE247" s="512">
        <v>1.9799999999999999E-4</v>
      </c>
      <c r="AF247" s="150"/>
      <c r="AG247" s="156"/>
      <c r="AH247" s="156"/>
      <c r="AI247" s="690"/>
      <c r="AJ247" s="153"/>
      <c r="AK247" s="153"/>
      <c r="AL247" s="153"/>
      <c r="AM247" s="153"/>
      <c r="AN247" s="153"/>
      <c r="AO247" s="153"/>
      <c r="AP247" s="153"/>
      <c r="AQ247" s="153"/>
      <c r="AR247" s="153"/>
      <c r="AS247" s="810"/>
      <c r="AT247" s="173"/>
      <c r="AU247" s="153"/>
      <c r="AV247" s="156"/>
      <c r="AW247" s="153"/>
      <c r="AX247" s="156"/>
      <c r="AY247" s="153"/>
      <c r="AZ247" s="153"/>
      <c r="BA247" s="156"/>
      <c r="BB247" s="684"/>
      <c r="BC247" s="157"/>
      <c r="BD247" s="521"/>
      <c r="BE247" s="521"/>
      <c r="BF247" s="521"/>
      <c r="BG247" s="521"/>
      <c r="BH247" s="521"/>
      <c r="BI247" s="521"/>
      <c r="BJ247" s="795"/>
      <c r="BK247" s="523"/>
      <c r="BL247" s="521"/>
      <c r="BN247" s="343"/>
      <c r="BO247" s="343"/>
      <c r="BP247" s="343"/>
    </row>
    <row r="248" spans="1:68" ht="114.75">
      <c r="A248" s="149"/>
      <c r="B248" s="158"/>
      <c r="C248" s="151"/>
      <c r="D248" s="150"/>
      <c r="E248" s="767"/>
      <c r="F248" s="159"/>
      <c r="G248" s="159"/>
      <c r="H248" s="159"/>
      <c r="I248" s="170" t="s">
        <v>1152</v>
      </c>
      <c r="J248" s="159" t="s">
        <v>941</v>
      </c>
      <c r="K248" s="160" t="s">
        <v>1148</v>
      </c>
      <c r="L248" s="160"/>
      <c r="M248" s="160" t="s">
        <v>1149</v>
      </c>
      <c r="N248" s="160"/>
      <c r="O248" s="155" t="s">
        <v>654</v>
      </c>
      <c r="P248" s="169"/>
      <c r="Q248" s="160" t="s">
        <v>1096</v>
      </c>
      <c r="R248" s="160"/>
      <c r="S248" s="160" t="s">
        <v>1150</v>
      </c>
      <c r="T248" s="153"/>
      <c r="U248" s="160" t="s">
        <v>1151</v>
      </c>
      <c r="V248" s="520"/>
      <c r="W248" s="695"/>
      <c r="X248" s="159"/>
      <c r="Y248" s="158"/>
      <c r="Z248" s="158"/>
      <c r="AA248" s="158"/>
      <c r="AB248" s="158"/>
      <c r="AC248" s="502"/>
      <c r="AD248" s="695"/>
      <c r="AE248" s="159" t="s">
        <v>1153</v>
      </c>
      <c r="AF248" s="158"/>
      <c r="AG248" s="158"/>
      <c r="AH248" s="158"/>
      <c r="AI248" s="695"/>
      <c r="AJ248" s="161"/>
      <c r="AK248" s="161"/>
      <c r="AL248" s="161"/>
      <c r="AM248" s="161"/>
      <c r="AN248" s="161"/>
      <c r="AO248" s="161"/>
      <c r="AP248" s="161"/>
      <c r="AQ248" s="161"/>
      <c r="AR248" s="161"/>
      <c r="AS248" s="678"/>
      <c r="AT248" s="185"/>
      <c r="AU248" s="162" t="s">
        <v>541</v>
      </c>
      <c r="AV248" s="163"/>
      <c r="AW248" s="164" t="s">
        <v>541</v>
      </c>
      <c r="AX248" s="163"/>
      <c r="AY248" s="162"/>
      <c r="AZ248" s="164"/>
      <c r="BA248" s="163"/>
      <c r="BB248" s="695"/>
      <c r="BC248" s="165"/>
      <c r="BD248" s="522"/>
      <c r="BE248" s="522"/>
      <c r="BF248" s="522"/>
      <c r="BG248" s="522"/>
      <c r="BH248" s="522"/>
      <c r="BI248" s="522"/>
      <c r="BJ248" s="806"/>
      <c r="BK248" s="524" t="s">
        <v>541</v>
      </c>
      <c r="BL248" s="522" t="s">
        <v>541</v>
      </c>
      <c r="BN248" s="343"/>
      <c r="BO248" s="343"/>
      <c r="BP248" s="343"/>
    </row>
    <row r="249" spans="1:68" ht="15">
      <c r="A249" s="191">
        <v>161</v>
      </c>
      <c r="B249" s="191" t="s">
        <v>408</v>
      </c>
      <c r="C249" t="s">
        <v>2000</v>
      </c>
      <c r="D249" s="191"/>
      <c r="E249" s="728"/>
      <c r="F249" s="191" t="s">
        <v>1996</v>
      </c>
      <c r="G249" s="150" t="s">
        <v>541</v>
      </c>
      <c r="H249" s="150" t="s">
        <v>541</v>
      </c>
      <c r="I249" s="191"/>
      <c r="J249" s="191"/>
      <c r="K249" s="191"/>
      <c r="L249" s="191"/>
      <c r="M249" s="191"/>
      <c r="N249" s="191"/>
      <c r="O249" s="168">
        <v>1.5200000000000001E-4</v>
      </c>
      <c r="P249" s="191">
        <v>20</v>
      </c>
      <c r="Q249" s="191"/>
      <c r="R249" s="191"/>
      <c r="S249" s="191"/>
      <c r="T249" s="191"/>
      <c r="U249" s="191">
        <v>1.1200000000000001</v>
      </c>
      <c r="V249" s="520">
        <f>10^U249</f>
        <v>13.182567385564075</v>
      </c>
      <c r="X249" s="516"/>
      <c r="Y249" s="191"/>
      <c r="Z249" s="191"/>
      <c r="AA249" s="191"/>
      <c r="AB249" s="191"/>
      <c r="AC249" s="486"/>
      <c r="AE249" s="516"/>
      <c r="AF249" s="191"/>
      <c r="AG249" s="191"/>
      <c r="AH249" s="191"/>
      <c r="AJ249" s="193"/>
      <c r="AK249" s="193"/>
      <c r="AL249" s="193"/>
      <c r="AM249" s="193"/>
      <c r="AN249" s="193"/>
      <c r="AO249" s="193"/>
      <c r="AP249" s="193"/>
      <c r="AQ249" s="193"/>
      <c r="AR249" s="193"/>
      <c r="AT249" s="526"/>
      <c r="AU249" s="193"/>
      <c r="AV249" s="193"/>
      <c r="AW249" s="193"/>
      <c r="AX249" s="193"/>
      <c r="AY249" s="193"/>
      <c r="AZ249" s="193"/>
      <c r="BA249" s="193"/>
      <c r="BC249" s="191"/>
      <c r="BD249" s="486"/>
      <c r="BE249" s="486"/>
      <c r="BF249" s="486"/>
      <c r="BG249" s="486"/>
      <c r="BH249" s="486"/>
      <c r="BI249" s="486"/>
      <c r="BK249" s="516"/>
      <c r="BL249" s="486"/>
      <c r="BN249" s="343"/>
      <c r="BO249" s="343"/>
      <c r="BP249" s="343"/>
    </row>
    <row r="250" spans="1:68" ht="38.25">
      <c r="A250" s="191"/>
      <c r="B250" s="191"/>
      <c r="C250" s="486"/>
      <c r="D250" s="191"/>
      <c r="E250" s="728"/>
      <c r="F250" s="191"/>
      <c r="G250" s="191"/>
      <c r="H250" s="191"/>
      <c r="I250" s="191"/>
      <c r="J250" s="191"/>
      <c r="K250" s="191"/>
      <c r="L250" s="191"/>
      <c r="M250" s="191"/>
      <c r="N250" s="191"/>
      <c r="O250" s="168" t="s">
        <v>798</v>
      </c>
      <c r="P250" s="191"/>
      <c r="Q250" s="191"/>
      <c r="R250" s="191"/>
      <c r="S250" s="191"/>
      <c r="T250" s="191"/>
      <c r="U250" s="149" t="s">
        <v>1375</v>
      </c>
      <c r="V250" s="486"/>
      <c r="X250" s="516"/>
      <c r="Y250" s="191"/>
      <c r="Z250" s="191"/>
      <c r="AA250" s="191"/>
      <c r="AB250" s="191"/>
      <c r="AC250" s="486"/>
      <c r="AE250" s="516"/>
      <c r="AF250" s="191"/>
      <c r="AG250" s="191"/>
      <c r="AH250" s="191"/>
      <c r="AJ250" s="193"/>
      <c r="AK250" s="193"/>
      <c r="AL250" s="193"/>
      <c r="AM250" s="193"/>
      <c r="AN250" s="193"/>
      <c r="AO250" s="193"/>
      <c r="AP250" s="193"/>
      <c r="AQ250" s="193"/>
      <c r="AR250" s="193"/>
      <c r="AT250" s="526"/>
      <c r="AU250" s="193"/>
      <c r="AV250" s="193"/>
      <c r="AW250" s="193"/>
      <c r="AX250" s="193"/>
      <c r="AY250" s="193"/>
      <c r="AZ250" s="193"/>
      <c r="BA250" s="193"/>
      <c r="BC250" s="191"/>
      <c r="BD250" s="486"/>
      <c r="BE250" s="486"/>
      <c r="BF250" s="486"/>
      <c r="BG250" s="486"/>
      <c r="BH250" s="486"/>
      <c r="BI250" s="486"/>
      <c r="BK250" s="516"/>
      <c r="BL250" s="486"/>
      <c r="BN250" s="343"/>
      <c r="BO250" s="343"/>
      <c r="BP250" s="343"/>
    </row>
    <row r="251" spans="1:68">
      <c r="A251" s="149">
        <v>164</v>
      </c>
      <c r="B251" s="150" t="s">
        <v>178</v>
      </c>
      <c r="C251" s="151" t="s">
        <v>1154</v>
      </c>
      <c r="D251" s="150"/>
      <c r="E251" s="767"/>
      <c r="F251" s="188" t="s">
        <v>1996</v>
      </c>
      <c r="G251" s="188" t="s">
        <v>1996</v>
      </c>
      <c r="H251" s="188" t="s">
        <v>1416</v>
      </c>
      <c r="I251" s="150">
        <v>1.9</v>
      </c>
      <c r="J251" s="188">
        <v>221.03800000000001</v>
      </c>
      <c r="K251" s="153">
        <v>5600</v>
      </c>
      <c r="L251" s="154">
        <v>20</v>
      </c>
      <c r="M251" s="156">
        <v>0.5</v>
      </c>
      <c r="N251" s="154">
        <v>20</v>
      </c>
      <c r="O251" s="156">
        <v>1.2E-4</v>
      </c>
      <c r="P251" s="154">
        <v>10</v>
      </c>
      <c r="Q251" s="156"/>
      <c r="R251" s="156"/>
      <c r="S251" s="153">
        <v>2.21</v>
      </c>
      <c r="T251" s="153">
        <f>10^S251</f>
        <v>162.18100973589304</v>
      </c>
      <c r="U251" s="153">
        <v>0.34</v>
      </c>
      <c r="V251" s="520">
        <f>10^U251</f>
        <v>2.1877616239495525</v>
      </c>
      <c r="W251" s="684"/>
      <c r="X251" s="512"/>
      <c r="Y251" s="156"/>
      <c r="Z251" s="156"/>
      <c r="AA251" s="156"/>
      <c r="AB251" s="156"/>
      <c r="AC251" s="501"/>
      <c r="AD251" s="690"/>
      <c r="AE251" s="512">
        <v>0.03</v>
      </c>
      <c r="AF251" s="156"/>
      <c r="AG251" s="156"/>
      <c r="AH251" s="156"/>
      <c r="AI251" s="690"/>
      <c r="AJ251" s="153"/>
      <c r="AK251" s="153"/>
      <c r="AL251" s="153"/>
      <c r="AM251" s="153"/>
      <c r="AN251" s="153"/>
      <c r="AO251" s="153"/>
      <c r="AP251" s="153"/>
      <c r="AQ251" s="153"/>
      <c r="AR251" s="153"/>
      <c r="AS251" s="810"/>
      <c r="AT251" s="173"/>
      <c r="AU251" s="153"/>
      <c r="AV251" s="156"/>
      <c r="AW251" s="153"/>
      <c r="AX251" s="156"/>
      <c r="AY251" s="153"/>
      <c r="AZ251" s="153"/>
      <c r="BA251" s="156"/>
      <c r="BB251" s="684"/>
      <c r="BC251" s="157"/>
      <c r="BD251" s="521"/>
      <c r="BE251" s="521"/>
      <c r="BF251" s="521"/>
      <c r="BG251" s="521"/>
      <c r="BH251" s="521"/>
      <c r="BI251" s="521"/>
      <c r="BJ251" s="795"/>
      <c r="BK251" s="523"/>
      <c r="BL251" s="521"/>
      <c r="BN251" s="343"/>
      <c r="BO251" s="343"/>
      <c r="BP251" s="343"/>
    </row>
    <row r="252" spans="1:68" ht="140.25">
      <c r="A252" s="149"/>
      <c r="B252" s="158"/>
      <c r="C252" s="151"/>
      <c r="D252" s="150"/>
      <c r="E252" s="767"/>
      <c r="F252" s="175"/>
      <c r="G252" s="175"/>
      <c r="H252" s="175"/>
      <c r="I252" s="158" t="s">
        <v>1159</v>
      </c>
      <c r="J252" s="175" t="s">
        <v>1155</v>
      </c>
      <c r="K252" s="163" t="s">
        <v>1156</v>
      </c>
      <c r="L252" s="169"/>
      <c r="M252" s="163" t="s">
        <v>1156</v>
      </c>
      <c r="N252" s="169"/>
      <c r="O252" s="155" t="s">
        <v>654</v>
      </c>
      <c r="P252" s="171"/>
      <c r="Q252" s="160" t="s">
        <v>1096</v>
      </c>
      <c r="R252" s="160"/>
      <c r="S252" s="160" t="s">
        <v>1157</v>
      </c>
      <c r="T252" s="153"/>
      <c r="U252" s="160" t="s">
        <v>1158</v>
      </c>
      <c r="V252" s="520"/>
      <c r="W252" s="695"/>
      <c r="X252" s="159"/>
      <c r="Y252" s="158"/>
      <c r="Z252" s="158"/>
      <c r="AA252" s="158"/>
      <c r="AB252" s="158"/>
      <c r="AC252" s="502"/>
      <c r="AD252" s="695"/>
      <c r="AE252" s="159" t="s">
        <v>1160</v>
      </c>
      <c r="AF252" s="158"/>
      <c r="AG252" s="158"/>
      <c r="AH252" s="158"/>
      <c r="AI252" s="695"/>
      <c r="AJ252" s="161"/>
      <c r="AK252" s="161"/>
      <c r="AL252" s="161"/>
      <c r="AM252" s="161"/>
      <c r="AN252" s="161"/>
      <c r="AO252" s="161"/>
      <c r="AP252" s="161"/>
      <c r="AQ252" s="161"/>
      <c r="AR252" s="161"/>
      <c r="AS252" s="678"/>
      <c r="AT252" s="185"/>
      <c r="AU252" s="162"/>
      <c r="AV252" s="163"/>
      <c r="AW252" s="164"/>
      <c r="AX252" s="163"/>
      <c r="AY252" s="162"/>
      <c r="AZ252" s="164"/>
      <c r="BA252" s="163"/>
      <c r="BB252" s="695"/>
      <c r="BC252" s="165"/>
      <c r="BD252" s="522"/>
      <c r="BE252" s="522"/>
      <c r="BF252" s="522"/>
      <c r="BG252" s="522"/>
      <c r="BH252" s="522"/>
      <c r="BI252" s="522"/>
      <c r="BJ252" s="806"/>
      <c r="BK252" s="524"/>
      <c r="BL252" s="522"/>
      <c r="BN252" s="343"/>
      <c r="BO252" s="343"/>
      <c r="BP252" s="343"/>
    </row>
    <row r="253" spans="1:68">
      <c r="A253" s="149">
        <v>165</v>
      </c>
      <c r="B253" s="150" t="s">
        <v>154</v>
      </c>
      <c r="C253" s="151" t="s">
        <v>1162</v>
      </c>
      <c r="D253" s="150"/>
      <c r="E253" s="767"/>
      <c r="F253" s="188" t="s">
        <v>1996</v>
      </c>
      <c r="G253" s="150" t="s">
        <v>541</v>
      </c>
      <c r="H253" s="150" t="s">
        <v>541</v>
      </c>
      <c r="I253" s="150" t="s">
        <v>541</v>
      </c>
      <c r="J253" s="188">
        <v>190.02699999999999</v>
      </c>
      <c r="K253" s="153">
        <v>2730</v>
      </c>
      <c r="L253" s="154" t="s">
        <v>541</v>
      </c>
      <c r="M253" s="153"/>
      <c r="N253" s="154"/>
      <c r="O253" s="156" t="s">
        <v>541</v>
      </c>
      <c r="P253" s="154" t="s">
        <v>541</v>
      </c>
      <c r="Q253" s="156"/>
      <c r="R253" s="156"/>
      <c r="S253" s="153">
        <v>0.77</v>
      </c>
      <c r="T253" s="153">
        <f>10^S253</f>
        <v>5.8884365535558905</v>
      </c>
      <c r="U253" s="153"/>
      <c r="V253" s="520"/>
      <c r="W253" s="684"/>
      <c r="X253" s="512"/>
      <c r="Y253" s="156"/>
      <c r="Z253" s="156"/>
      <c r="AA253" s="156"/>
      <c r="AB253" s="156"/>
      <c r="AC253" s="501"/>
      <c r="AD253" s="690"/>
      <c r="AE253" s="512"/>
      <c r="AF253" s="156"/>
      <c r="AG253" s="156"/>
      <c r="AH253" s="156"/>
      <c r="AI253" s="690"/>
      <c r="AJ253" s="153"/>
      <c r="AK253" s="153"/>
      <c r="AL253" s="153"/>
      <c r="AM253" s="153"/>
      <c r="AN253" s="153"/>
      <c r="AO253" s="153"/>
      <c r="AP253" s="153"/>
      <c r="AQ253" s="153"/>
      <c r="AR253" s="153"/>
      <c r="AS253" s="810"/>
      <c r="AT253" s="173"/>
      <c r="AU253" s="153"/>
      <c r="AV253" s="156"/>
      <c r="AW253" s="153"/>
      <c r="AX253" s="156"/>
      <c r="AY253" s="153"/>
      <c r="AZ253" s="153"/>
      <c r="BA253" s="156"/>
      <c r="BB253" s="684"/>
      <c r="BC253" s="157"/>
      <c r="BD253" s="521"/>
      <c r="BE253" s="521"/>
      <c r="BF253" s="521"/>
      <c r="BG253" s="521"/>
      <c r="BH253" s="521"/>
      <c r="BI253" s="521"/>
      <c r="BJ253" s="795"/>
      <c r="BK253" s="523"/>
      <c r="BL253" s="521"/>
      <c r="BN253" s="343"/>
      <c r="BO253" s="343"/>
      <c r="BP253" s="343"/>
    </row>
    <row r="254" spans="1:68" ht="63.75">
      <c r="A254" s="149"/>
      <c r="B254" s="158"/>
      <c r="C254" s="151"/>
      <c r="D254" s="150"/>
      <c r="E254" s="767"/>
      <c r="F254" s="159"/>
      <c r="G254" s="159"/>
      <c r="H254" s="159"/>
      <c r="I254" s="158" t="s">
        <v>661</v>
      </c>
      <c r="J254" s="159" t="s">
        <v>708</v>
      </c>
      <c r="K254" s="163" t="s">
        <v>1163</v>
      </c>
      <c r="L254" s="169"/>
      <c r="M254" s="163" t="s">
        <v>1164</v>
      </c>
      <c r="N254" s="169"/>
      <c r="O254" s="155"/>
      <c r="P254" s="171"/>
      <c r="Q254" s="160" t="s">
        <v>1096</v>
      </c>
      <c r="R254" s="160"/>
      <c r="S254" s="163" t="s">
        <v>1163</v>
      </c>
      <c r="T254" s="153"/>
      <c r="U254" s="158"/>
      <c r="V254" s="520"/>
      <c r="W254" s="695"/>
      <c r="X254" s="159"/>
      <c r="Y254" s="158"/>
      <c r="Z254" s="158"/>
      <c r="AA254" s="158"/>
      <c r="AB254" s="158"/>
      <c r="AC254" s="502"/>
      <c r="AD254" s="695"/>
      <c r="AE254" s="159"/>
      <c r="AF254" s="158"/>
      <c r="AG254" s="158"/>
      <c r="AH254" s="158"/>
      <c r="AI254" s="695"/>
      <c r="AJ254" s="161"/>
      <c r="AK254" s="161"/>
      <c r="AL254" s="161"/>
      <c r="AM254" s="161"/>
      <c r="AN254" s="161"/>
      <c r="AO254" s="161"/>
      <c r="AP254" s="161"/>
      <c r="AQ254" s="161"/>
      <c r="AR254" s="161"/>
      <c r="AS254" s="678"/>
      <c r="AT254" s="185"/>
      <c r="AU254" s="162"/>
      <c r="AV254" s="163"/>
      <c r="AW254" s="164"/>
      <c r="AX254" s="163"/>
      <c r="AY254" s="162"/>
      <c r="AZ254" s="164"/>
      <c r="BA254" s="163"/>
      <c r="BB254" s="695"/>
      <c r="BC254" s="165"/>
      <c r="BD254" s="522"/>
      <c r="BE254" s="522"/>
      <c r="BF254" s="522"/>
      <c r="BG254" s="522"/>
      <c r="BH254" s="522"/>
      <c r="BI254" s="522"/>
      <c r="BJ254" s="806"/>
      <c r="BK254" s="524"/>
      <c r="BL254" s="522"/>
      <c r="BN254" s="343"/>
      <c r="BO254" s="343"/>
      <c r="BP254" s="343"/>
    </row>
    <row r="255" spans="1:68">
      <c r="A255" s="149">
        <v>166</v>
      </c>
      <c r="B255" s="150" t="s">
        <v>155</v>
      </c>
      <c r="C255" s="151" t="s">
        <v>1165</v>
      </c>
      <c r="D255" s="150"/>
      <c r="E255" s="767"/>
      <c r="F255" s="188" t="s">
        <v>1996</v>
      </c>
      <c r="G255" s="150" t="s">
        <v>541</v>
      </c>
      <c r="H255" s="150" t="s">
        <v>541</v>
      </c>
      <c r="I255" s="150" t="s">
        <v>541</v>
      </c>
      <c r="J255" s="188">
        <v>233.09299999999999</v>
      </c>
      <c r="K255" s="153">
        <v>40</v>
      </c>
      <c r="L255" s="154">
        <v>20</v>
      </c>
      <c r="M255" s="156">
        <v>2.0000000000000001E-4</v>
      </c>
      <c r="N255" s="154">
        <v>20</v>
      </c>
      <c r="O255" s="156">
        <v>1.2E-4</v>
      </c>
      <c r="P255" s="154">
        <v>10</v>
      </c>
      <c r="Q255" s="156"/>
      <c r="R255" s="156"/>
      <c r="S255" s="153">
        <v>2.7</v>
      </c>
      <c r="T255" s="153">
        <f>10^S255</f>
        <v>501.18723362727269</v>
      </c>
      <c r="U255" s="153">
        <v>2.57</v>
      </c>
      <c r="V255" s="520">
        <f>10^U255</f>
        <v>371.53522909717265</v>
      </c>
      <c r="W255" s="787"/>
      <c r="X255" s="512"/>
      <c r="Y255" s="156"/>
      <c r="Z255" s="156"/>
      <c r="AA255" s="156"/>
      <c r="AB255" s="156"/>
      <c r="AC255" s="501"/>
      <c r="AD255" s="690"/>
      <c r="AE255" s="512">
        <v>2E-3</v>
      </c>
      <c r="AF255" s="156"/>
      <c r="AG255" s="156"/>
      <c r="AH255" s="156"/>
      <c r="AI255" s="690"/>
      <c r="AJ255" s="153"/>
      <c r="AK255" s="153"/>
      <c r="AL255" s="153"/>
      <c r="AM255" s="153"/>
      <c r="AN255" s="153"/>
      <c r="AO255" s="153"/>
      <c r="AP255" s="153"/>
      <c r="AQ255" s="153"/>
      <c r="AR255" s="153"/>
      <c r="AS255" s="810"/>
      <c r="AT255" s="173"/>
      <c r="AU255" s="153"/>
      <c r="AV255" s="156"/>
      <c r="AW255" s="153"/>
      <c r="AX255" s="156"/>
      <c r="AY255" s="153"/>
      <c r="AZ255" s="153"/>
      <c r="BA255" s="156"/>
      <c r="BB255" s="684"/>
      <c r="BC255" s="157"/>
      <c r="BD255" s="521"/>
      <c r="BE255" s="521"/>
      <c r="BF255" s="521"/>
      <c r="BG255" s="521"/>
      <c r="BH255" s="521"/>
      <c r="BI255" s="521"/>
      <c r="BJ255" s="795"/>
      <c r="BK255" s="523"/>
      <c r="BL255" s="521"/>
      <c r="BN255" s="343"/>
      <c r="BO255" s="343"/>
      <c r="BP255" s="343"/>
    </row>
    <row r="256" spans="1:68" ht="102">
      <c r="A256" s="149"/>
      <c r="B256" s="158"/>
      <c r="C256" s="151"/>
      <c r="D256" s="150"/>
      <c r="E256" s="767"/>
      <c r="F256" s="159"/>
      <c r="G256" s="159"/>
      <c r="H256" s="159"/>
      <c r="I256" s="170" t="s">
        <v>1139</v>
      </c>
      <c r="J256" s="159" t="s">
        <v>708</v>
      </c>
      <c r="K256" s="158" t="s">
        <v>1166</v>
      </c>
      <c r="L256" s="160"/>
      <c r="M256" s="158" t="s">
        <v>1166</v>
      </c>
      <c r="N256" s="160"/>
      <c r="O256" s="155" t="s">
        <v>654</v>
      </c>
      <c r="P256" s="171"/>
      <c r="Q256" s="160" t="s">
        <v>1096</v>
      </c>
      <c r="R256" s="160"/>
      <c r="S256" s="160" t="s">
        <v>1167</v>
      </c>
      <c r="T256" s="153"/>
      <c r="U256" s="160" t="s">
        <v>1168</v>
      </c>
      <c r="V256" s="520"/>
      <c r="W256" s="788"/>
      <c r="X256" s="159"/>
      <c r="Y256" s="158"/>
      <c r="Z256" s="158"/>
      <c r="AA256" s="158"/>
      <c r="AB256" s="158"/>
      <c r="AC256" s="502"/>
      <c r="AD256" s="695"/>
      <c r="AE256" s="159" t="s">
        <v>1169</v>
      </c>
      <c r="AF256" s="158"/>
      <c r="AG256" s="158"/>
      <c r="AH256" s="158"/>
      <c r="AI256" s="695"/>
      <c r="AJ256" s="161"/>
      <c r="AK256" s="161"/>
      <c r="AL256" s="161"/>
      <c r="AM256" s="161"/>
      <c r="AN256" s="161"/>
      <c r="AO256" s="161"/>
      <c r="AP256" s="161"/>
      <c r="AQ256" s="161"/>
      <c r="AR256" s="161"/>
      <c r="AS256" s="678"/>
      <c r="AT256" s="185"/>
      <c r="AU256" s="162"/>
      <c r="AV256" s="163"/>
      <c r="AW256" s="164"/>
      <c r="AX256" s="163"/>
      <c r="AY256" s="162"/>
      <c r="AZ256" s="164"/>
      <c r="BA256" s="163"/>
      <c r="BB256" s="695"/>
      <c r="BC256" s="165"/>
      <c r="BD256" s="522"/>
      <c r="BE256" s="522"/>
      <c r="BF256" s="522"/>
      <c r="BG256" s="522"/>
      <c r="BH256" s="522"/>
      <c r="BI256" s="522"/>
      <c r="BJ256" s="806"/>
      <c r="BK256" s="524"/>
      <c r="BL256" s="522"/>
      <c r="BN256" s="343"/>
      <c r="BO256" s="343"/>
      <c r="BP256" s="343"/>
    </row>
    <row r="257" spans="1:68">
      <c r="A257" s="149">
        <v>167</v>
      </c>
      <c r="B257" s="150" t="s">
        <v>156</v>
      </c>
      <c r="C257" s="151" t="s">
        <v>1170</v>
      </c>
      <c r="D257" s="150"/>
      <c r="E257" s="767"/>
      <c r="F257" s="188" t="s">
        <v>1996</v>
      </c>
      <c r="G257" s="150" t="s">
        <v>541</v>
      </c>
      <c r="H257" s="150" t="s">
        <v>541</v>
      </c>
      <c r="I257" s="150" t="s">
        <v>541</v>
      </c>
      <c r="J257" s="188">
        <v>286.33999999999997</v>
      </c>
      <c r="K257" s="153">
        <v>110</v>
      </c>
      <c r="L257" s="154">
        <v>25</v>
      </c>
      <c r="M257" s="156">
        <v>6.5320000000000005E-4</v>
      </c>
      <c r="N257" s="154" t="s">
        <v>541</v>
      </c>
      <c r="O257" s="156">
        <v>3.7490000000000002E-3</v>
      </c>
      <c r="P257" s="154">
        <v>10</v>
      </c>
      <c r="Q257" s="156"/>
      <c r="R257" s="156"/>
      <c r="S257" s="153">
        <v>2.7</v>
      </c>
      <c r="T257" s="153">
        <f>10^S257</f>
        <v>501.18723362727269</v>
      </c>
      <c r="U257" s="153">
        <v>2.31</v>
      </c>
      <c r="V257" s="520">
        <f>10^U257</f>
        <v>204.17379446695315</v>
      </c>
      <c r="W257" s="787"/>
      <c r="X257" s="512"/>
      <c r="Y257" s="156"/>
      <c r="Z257" s="156"/>
      <c r="AA257" s="156"/>
      <c r="AB257" s="156"/>
      <c r="AC257" s="501"/>
      <c r="AD257" s="690"/>
      <c r="AE257" s="512">
        <v>7.0000000000000007E-2</v>
      </c>
      <c r="AF257" s="150"/>
      <c r="AG257" s="156"/>
      <c r="AH257" s="156"/>
      <c r="AI257" s="690"/>
      <c r="AJ257" s="153"/>
      <c r="AK257" s="153"/>
      <c r="AL257" s="153"/>
      <c r="AM257" s="153"/>
      <c r="AN257" s="153"/>
      <c r="AO257" s="153"/>
      <c r="AP257" s="153"/>
      <c r="AQ257" s="153"/>
      <c r="AR257" s="153"/>
      <c r="AS257" s="810"/>
      <c r="AT257" s="173"/>
      <c r="AU257" s="153"/>
      <c r="AV257" s="156"/>
      <c r="AW257" s="153"/>
      <c r="AX257" s="156"/>
      <c r="AY257" s="153"/>
      <c r="AZ257" s="153"/>
      <c r="BA257" s="156"/>
      <c r="BB257" s="684"/>
      <c r="BC257" s="157"/>
      <c r="BD257" s="521"/>
      <c r="BE257" s="521"/>
      <c r="BF257" s="521"/>
      <c r="BG257" s="521"/>
      <c r="BH257" s="521"/>
      <c r="BI257" s="521"/>
      <c r="BJ257" s="795"/>
      <c r="BK257" s="523"/>
      <c r="BL257" s="521"/>
      <c r="BN257" s="343"/>
      <c r="BO257" s="343"/>
      <c r="BP257" s="343"/>
    </row>
    <row r="258" spans="1:68" ht="63.75">
      <c r="A258" s="149"/>
      <c r="B258" s="158"/>
      <c r="C258" s="151"/>
      <c r="D258" s="150"/>
      <c r="E258" s="767"/>
      <c r="F258" s="159"/>
      <c r="G258" s="159"/>
      <c r="H258" s="159"/>
      <c r="I258" s="170" t="s">
        <v>1139</v>
      </c>
      <c r="J258" s="159" t="s">
        <v>708</v>
      </c>
      <c r="K258" s="158" t="s">
        <v>1171</v>
      </c>
      <c r="L258" s="160"/>
      <c r="M258" s="160" t="s">
        <v>1163</v>
      </c>
      <c r="N258" s="160"/>
      <c r="O258" s="155" t="s">
        <v>1132</v>
      </c>
      <c r="P258" s="160"/>
      <c r="Q258" s="160" t="s">
        <v>1096</v>
      </c>
      <c r="R258" s="160"/>
      <c r="S258" s="160" t="s">
        <v>1172</v>
      </c>
      <c r="T258" s="153"/>
      <c r="U258" s="160" t="s">
        <v>1127</v>
      </c>
      <c r="V258" s="520"/>
      <c r="W258" s="695"/>
      <c r="X258" s="159"/>
      <c r="Y258" s="158"/>
      <c r="Z258" s="158"/>
      <c r="AA258" s="158"/>
      <c r="AB258" s="158"/>
      <c r="AC258" s="502"/>
      <c r="AD258" s="695"/>
      <c r="AE258" s="159" t="s">
        <v>1121</v>
      </c>
      <c r="AF258" s="158"/>
      <c r="AG258" s="158"/>
      <c r="AH258" s="158"/>
      <c r="AI258" s="695"/>
      <c r="AJ258" s="161"/>
      <c r="AK258" s="161"/>
      <c r="AL258" s="161"/>
      <c r="AM258" s="161"/>
      <c r="AN258" s="161"/>
      <c r="AO258" s="161"/>
      <c r="AP258" s="161"/>
      <c r="AQ258" s="161"/>
      <c r="AR258" s="161"/>
      <c r="AS258" s="678"/>
      <c r="AT258" s="185"/>
      <c r="AU258" s="162"/>
      <c r="AV258" s="163"/>
      <c r="AW258" s="164"/>
      <c r="AX258" s="163"/>
      <c r="AY258" s="162"/>
      <c r="AZ258" s="164"/>
      <c r="BA258" s="163"/>
      <c r="BB258" s="695"/>
      <c r="BC258" s="165"/>
      <c r="BD258" s="522"/>
      <c r="BE258" s="522"/>
      <c r="BF258" s="522"/>
      <c r="BG258" s="522"/>
      <c r="BH258" s="522"/>
      <c r="BI258" s="522"/>
      <c r="BJ258" s="806"/>
      <c r="BK258" s="524"/>
      <c r="BL258" s="522"/>
      <c r="BN258" s="343"/>
      <c r="BO258" s="343"/>
      <c r="BP258" s="343"/>
    </row>
    <row r="259" spans="1:68">
      <c r="A259" s="191">
        <v>168</v>
      </c>
      <c r="B259" s="191" t="s">
        <v>179</v>
      </c>
      <c r="C259" s="486" t="s">
        <v>1374</v>
      </c>
      <c r="D259" s="191"/>
      <c r="E259" s="728"/>
      <c r="F259" s="191" t="s">
        <v>1996</v>
      </c>
      <c r="G259" s="150" t="s">
        <v>541</v>
      </c>
      <c r="H259" s="150" t="s">
        <v>541</v>
      </c>
      <c r="I259" s="191"/>
      <c r="J259" s="191"/>
      <c r="K259" s="191"/>
      <c r="L259" s="191"/>
      <c r="M259" s="191"/>
      <c r="N259" s="191"/>
      <c r="O259" s="168">
        <v>1.7400000000000001E-6</v>
      </c>
      <c r="P259" s="191">
        <v>20</v>
      </c>
      <c r="Q259" s="191"/>
      <c r="R259" s="191"/>
      <c r="S259" s="191"/>
      <c r="T259" s="191"/>
      <c r="U259" s="191">
        <v>1.81</v>
      </c>
      <c r="V259" s="520">
        <f>10^U259</f>
        <v>64.565422903465588</v>
      </c>
      <c r="X259" s="516"/>
      <c r="Y259" s="191"/>
      <c r="Z259" s="191"/>
      <c r="AA259" s="191"/>
      <c r="AB259" s="191"/>
      <c r="AC259" s="486"/>
      <c r="AE259" s="516"/>
      <c r="AF259" s="191"/>
      <c r="AG259" s="191"/>
      <c r="AH259" s="191"/>
      <c r="AJ259" s="193"/>
      <c r="AK259" s="193"/>
      <c r="AL259" s="193"/>
      <c r="AM259" s="193"/>
      <c r="AN259" s="193"/>
      <c r="AO259" s="193"/>
      <c r="AP259" s="193"/>
      <c r="AQ259" s="193"/>
      <c r="AR259" s="193"/>
      <c r="AT259" s="526"/>
      <c r="AU259" s="193"/>
      <c r="AV259" s="193"/>
      <c r="AW259" s="193"/>
      <c r="AX259" s="193"/>
      <c r="AY259" s="193"/>
      <c r="AZ259" s="193"/>
      <c r="BA259" s="193"/>
      <c r="BC259" s="191"/>
      <c r="BD259" s="486"/>
      <c r="BE259" s="486"/>
      <c r="BF259" s="486"/>
      <c r="BG259" s="486"/>
      <c r="BH259" s="486"/>
      <c r="BI259" s="486"/>
      <c r="BK259" s="516"/>
      <c r="BL259" s="486"/>
      <c r="BN259" s="343"/>
      <c r="BO259" s="343"/>
      <c r="BP259" s="343"/>
    </row>
    <row r="260" spans="1:68" ht="38.25">
      <c r="A260" s="191"/>
      <c r="B260" s="191"/>
      <c r="C260" s="486"/>
      <c r="D260" s="191"/>
      <c r="E260" s="728"/>
      <c r="F260" s="191"/>
      <c r="G260" s="191"/>
      <c r="H260" s="191"/>
      <c r="I260" s="191"/>
      <c r="J260" s="191"/>
      <c r="K260" s="191"/>
      <c r="L260" s="191"/>
      <c r="M260" s="191"/>
      <c r="N260" s="191"/>
      <c r="O260" s="168" t="s">
        <v>798</v>
      </c>
      <c r="P260" s="191"/>
      <c r="Q260" s="191"/>
      <c r="R260" s="191"/>
      <c r="S260" s="191"/>
      <c r="T260" s="191"/>
      <c r="U260" s="149" t="s">
        <v>1376</v>
      </c>
      <c r="V260" s="486"/>
      <c r="X260" s="516"/>
      <c r="Y260" s="191"/>
      <c r="Z260" s="191"/>
      <c r="AA260" s="191"/>
      <c r="AB260" s="191"/>
      <c r="AC260" s="486"/>
      <c r="AE260" s="516"/>
      <c r="AF260" s="191"/>
      <c r="AG260" s="191"/>
      <c r="AH260" s="191"/>
      <c r="AJ260" s="193"/>
      <c r="AK260" s="193"/>
      <c r="AL260" s="193"/>
      <c r="AM260" s="193"/>
      <c r="AN260" s="193"/>
      <c r="AO260" s="193"/>
      <c r="AP260" s="193"/>
      <c r="AQ260" s="193"/>
      <c r="AR260" s="193"/>
      <c r="AT260" s="526"/>
      <c r="AU260" s="193"/>
      <c r="AV260" s="193"/>
      <c r="AW260" s="193"/>
      <c r="AX260" s="193"/>
      <c r="AY260" s="193"/>
      <c r="AZ260" s="193"/>
      <c r="BA260" s="193"/>
      <c r="BC260" s="191"/>
      <c r="BD260" s="486"/>
      <c r="BE260" s="486"/>
      <c r="BF260" s="486"/>
      <c r="BG260" s="486"/>
      <c r="BH260" s="486"/>
      <c r="BI260" s="486"/>
      <c r="BK260" s="516"/>
      <c r="BL260" s="486"/>
      <c r="BN260" s="343"/>
      <c r="BO260" s="343"/>
      <c r="BP260" s="343"/>
    </row>
    <row r="261" spans="1:68">
      <c r="A261" s="149">
        <v>169</v>
      </c>
      <c r="B261" s="150" t="s">
        <v>157</v>
      </c>
      <c r="C261" s="151" t="s">
        <v>1173</v>
      </c>
      <c r="D261" s="150"/>
      <c r="E261" s="767"/>
      <c r="F261" s="188" t="s">
        <v>1996</v>
      </c>
      <c r="G261" s="188" t="s">
        <v>1996</v>
      </c>
      <c r="H261" s="188" t="s">
        <v>845</v>
      </c>
      <c r="I261" s="150">
        <v>2.2000000000000002</v>
      </c>
      <c r="J261" s="188">
        <v>252.31299999999999</v>
      </c>
      <c r="K261" s="156">
        <v>33000</v>
      </c>
      <c r="L261" s="154">
        <v>25</v>
      </c>
      <c r="M261" s="156">
        <v>3.0000000000000001E-5</v>
      </c>
      <c r="N261" s="154">
        <v>25</v>
      </c>
      <c r="O261" s="156">
        <v>2.29E-7</v>
      </c>
      <c r="P261" s="154">
        <v>10</v>
      </c>
      <c r="Q261" s="156"/>
      <c r="R261" s="156"/>
      <c r="S261" s="153">
        <v>1.2</v>
      </c>
      <c r="T261" s="153">
        <f>10^S261</f>
        <v>15.848931924611136</v>
      </c>
      <c r="U261" s="150">
        <v>0.81</v>
      </c>
      <c r="V261" s="520">
        <f>10^U261</f>
        <v>6.4565422903465572</v>
      </c>
      <c r="W261" s="684"/>
      <c r="X261" s="512"/>
      <c r="Y261" s="156"/>
      <c r="Z261" s="156"/>
      <c r="AA261" s="156"/>
      <c r="AB261" s="156"/>
      <c r="AC261" s="501"/>
      <c r="AD261" s="690"/>
      <c r="AE261" s="512">
        <v>3.3000000000000002E-2</v>
      </c>
      <c r="AF261" s="150"/>
      <c r="AG261" s="156"/>
      <c r="AH261" s="156"/>
      <c r="AI261" s="690"/>
      <c r="AJ261" s="153"/>
      <c r="AK261" s="153"/>
      <c r="AL261" s="153"/>
      <c r="AM261" s="153"/>
      <c r="AN261" s="153"/>
      <c r="AO261" s="153"/>
      <c r="AP261" s="153"/>
      <c r="AQ261" s="153"/>
      <c r="AR261" s="153"/>
      <c r="AS261" s="810"/>
      <c r="AT261" s="173"/>
      <c r="AU261" s="153"/>
      <c r="AV261" s="156"/>
      <c r="AW261" s="153"/>
      <c r="AX261" s="156"/>
      <c r="AY261" s="153"/>
      <c r="AZ261" s="153"/>
      <c r="BA261" s="156"/>
      <c r="BB261" s="684"/>
      <c r="BC261" s="157"/>
      <c r="BD261" s="521"/>
      <c r="BE261" s="521"/>
      <c r="BF261" s="521"/>
      <c r="BG261" s="521"/>
      <c r="BH261" s="521"/>
      <c r="BI261" s="521"/>
      <c r="BJ261" s="795"/>
      <c r="BK261" s="523"/>
      <c r="BL261" s="521"/>
      <c r="BN261" s="343"/>
      <c r="BO261" s="343"/>
      <c r="BP261" s="343"/>
    </row>
    <row r="262" spans="1:68" ht="89.25">
      <c r="A262" s="149"/>
      <c r="B262" s="158"/>
      <c r="C262" s="151"/>
      <c r="D262" s="150"/>
      <c r="E262" s="767"/>
      <c r="F262" s="159"/>
      <c r="G262" s="159"/>
      <c r="H262" s="159"/>
      <c r="I262" s="158" t="s">
        <v>1176</v>
      </c>
      <c r="J262" s="159" t="s">
        <v>941</v>
      </c>
      <c r="K262" s="158" t="s">
        <v>1174</v>
      </c>
      <c r="L262" s="160"/>
      <c r="M262" s="158" t="s">
        <v>1175</v>
      </c>
      <c r="N262" s="160"/>
      <c r="O262" s="155" t="s">
        <v>1132</v>
      </c>
      <c r="P262" s="160"/>
      <c r="Q262" s="160" t="s">
        <v>1096</v>
      </c>
      <c r="R262" s="160"/>
      <c r="S262" s="158" t="s">
        <v>1176</v>
      </c>
      <c r="T262" s="153"/>
      <c r="U262" s="160" t="s">
        <v>1127</v>
      </c>
      <c r="V262" s="520"/>
      <c r="W262" s="695"/>
      <c r="X262" s="159"/>
      <c r="Y262" s="158"/>
      <c r="Z262" s="158"/>
      <c r="AA262" s="158"/>
      <c r="AB262" s="158"/>
      <c r="AC262" s="502"/>
      <c r="AD262" s="695"/>
      <c r="AE262" s="159" t="s">
        <v>1177</v>
      </c>
      <c r="AF262" s="158"/>
      <c r="AG262" s="158"/>
      <c r="AH262" s="158"/>
      <c r="AI262" s="695"/>
      <c r="AJ262" s="161"/>
      <c r="AK262" s="161"/>
      <c r="AL262" s="161"/>
      <c r="AM262" s="161"/>
      <c r="AN262" s="161"/>
      <c r="AO262" s="161"/>
      <c r="AP262" s="161"/>
      <c r="AQ262" s="161"/>
      <c r="AR262" s="161"/>
      <c r="AS262" s="678"/>
      <c r="AT262" s="185"/>
      <c r="AU262" s="162"/>
      <c r="AV262" s="163"/>
      <c r="AW262" s="164"/>
      <c r="AX262" s="163"/>
      <c r="AY262" s="162"/>
      <c r="AZ262" s="164"/>
      <c r="BA262" s="163"/>
      <c r="BB262" s="695"/>
      <c r="BC262" s="165"/>
      <c r="BD262" s="522"/>
      <c r="BE262" s="522"/>
      <c r="BF262" s="522"/>
      <c r="BG262" s="522"/>
      <c r="BH262" s="522"/>
      <c r="BI262" s="522"/>
      <c r="BJ262" s="806"/>
      <c r="BK262" s="524"/>
      <c r="BL262" s="522"/>
      <c r="BN262" s="343"/>
      <c r="BO262" s="343"/>
      <c r="BP262" s="343"/>
    </row>
    <row r="263" spans="1:68">
      <c r="A263" s="149">
        <v>170</v>
      </c>
      <c r="B263" s="150" t="s">
        <v>158</v>
      </c>
      <c r="C263" s="151" t="s">
        <v>1178</v>
      </c>
      <c r="D263" s="150"/>
      <c r="E263" s="767"/>
      <c r="F263" s="152" t="s">
        <v>1996</v>
      </c>
      <c r="G263" s="150" t="s">
        <v>541</v>
      </c>
      <c r="H263" s="150" t="s">
        <v>541</v>
      </c>
      <c r="I263" s="150" t="s">
        <v>541</v>
      </c>
      <c r="J263" s="152">
        <v>206.28399999999999</v>
      </c>
      <c r="K263" s="156">
        <v>72</v>
      </c>
      <c r="L263" s="154">
        <v>20</v>
      </c>
      <c r="M263" s="156">
        <v>3.3000000000000002E-6</v>
      </c>
      <c r="N263" s="154">
        <v>20</v>
      </c>
      <c r="O263" s="156">
        <v>1.24E-5</v>
      </c>
      <c r="P263" s="154">
        <v>10</v>
      </c>
      <c r="Q263" s="156"/>
      <c r="R263" s="156"/>
      <c r="S263" s="153">
        <v>2.5299999999999998</v>
      </c>
      <c r="T263" s="153">
        <f>10^S263</f>
        <v>338.84415613920248</v>
      </c>
      <c r="U263" s="150">
        <v>2.09</v>
      </c>
      <c r="V263" s="520">
        <f>10^U263</f>
        <v>123.02687708123821</v>
      </c>
      <c r="W263" s="684"/>
      <c r="X263" s="512"/>
      <c r="Y263" s="156"/>
      <c r="Z263" s="156"/>
      <c r="AA263" s="156"/>
      <c r="AB263" s="156"/>
      <c r="AC263" s="501"/>
      <c r="AD263" s="690"/>
      <c r="AE263" s="512">
        <v>3.0000000000000001E-3</v>
      </c>
      <c r="AF263" s="150"/>
      <c r="AG263" s="156"/>
      <c r="AH263" s="156"/>
      <c r="AI263" s="690"/>
      <c r="AJ263" s="153"/>
      <c r="AK263" s="153"/>
      <c r="AL263" s="153"/>
      <c r="AM263" s="153"/>
      <c r="AN263" s="153"/>
      <c r="AO263" s="153"/>
      <c r="AP263" s="153"/>
      <c r="AQ263" s="153"/>
      <c r="AR263" s="153"/>
      <c r="AS263" s="810"/>
      <c r="AT263" s="173"/>
      <c r="AU263" s="153"/>
      <c r="AV263" s="156"/>
      <c r="AW263" s="153"/>
      <c r="AX263" s="156"/>
      <c r="AY263" s="153"/>
      <c r="AZ263" s="153"/>
      <c r="BA263" s="156"/>
      <c r="BB263" s="684"/>
      <c r="BC263" s="157"/>
      <c r="BD263" s="521"/>
      <c r="BE263" s="521"/>
      <c r="BF263" s="521"/>
      <c r="BG263" s="521"/>
      <c r="BH263" s="521"/>
      <c r="BI263" s="521"/>
      <c r="BJ263" s="795"/>
      <c r="BK263" s="523"/>
      <c r="BL263" s="521"/>
      <c r="BN263" s="343"/>
      <c r="BO263" s="343"/>
      <c r="BP263" s="343"/>
    </row>
    <row r="264" spans="1:68" ht="102">
      <c r="A264" s="149"/>
      <c r="B264" s="158"/>
      <c r="C264" s="151"/>
      <c r="D264" s="150"/>
      <c r="E264" s="767"/>
      <c r="F264" s="187"/>
      <c r="G264" s="187"/>
      <c r="H264" s="187"/>
      <c r="I264" s="170" t="s">
        <v>1139</v>
      </c>
      <c r="J264" s="187" t="s">
        <v>1179</v>
      </c>
      <c r="K264" s="160" t="s">
        <v>1180</v>
      </c>
      <c r="L264" s="160"/>
      <c r="M264" s="160" t="s">
        <v>1181</v>
      </c>
      <c r="N264" s="160"/>
      <c r="O264" s="155" t="s">
        <v>654</v>
      </c>
      <c r="P264" s="160"/>
      <c r="Q264" s="160" t="s">
        <v>1096</v>
      </c>
      <c r="R264" s="160"/>
      <c r="S264" s="160" t="s">
        <v>1182</v>
      </c>
      <c r="T264" s="153"/>
      <c r="U264" s="160" t="s">
        <v>1183</v>
      </c>
      <c r="V264" s="520"/>
      <c r="W264" s="695"/>
      <c r="X264" s="159"/>
      <c r="Y264" s="158"/>
      <c r="Z264" s="158"/>
      <c r="AA264" s="158"/>
      <c r="AB264" s="158"/>
      <c r="AC264" s="502"/>
      <c r="AD264" s="695"/>
      <c r="AE264" s="159" t="s">
        <v>1184</v>
      </c>
      <c r="AF264" s="158"/>
      <c r="AG264" s="158"/>
      <c r="AH264" s="158"/>
      <c r="AI264" s="695"/>
      <c r="AJ264" s="161"/>
      <c r="AK264" s="161"/>
      <c r="AL264" s="161"/>
      <c r="AM264" s="161"/>
      <c r="AN264" s="161"/>
      <c r="AO264" s="161"/>
      <c r="AP264" s="161"/>
      <c r="AQ264" s="161"/>
      <c r="AR264" s="161"/>
      <c r="AS264" s="678"/>
      <c r="AT264" s="185"/>
      <c r="AU264" s="162"/>
      <c r="AV264" s="163"/>
      <c r="AW264" s="164"/>
      <c r="AX264" s="163"/>
      <c r="AY264" s="162"/>
      <c r="AZ264" s="164"/>
      <c r="BA264" s="163"/>
      <c r="BB264" s="695"/>
      <c r="BC264" s="165"/>
      <c r="BD264" s="522"/>
      <c r="BE264" s="522"/>
      <c r="BF264" s="522"/>
      <c r="BG264" s="522"/>
      <c r="BH264" s="522"/>
      <c r="BI264" s="522"/>
      <c r="BJ264" s="806"/>
      <c r="BK264" s="524"/>
      <c r="BL264" s="522"/>
      <c r="BN264" s="343"/>
      <c r="BO264" s="343"/>
      <c r="BP264" s="343"/>
    </row>
    <row r="265" spans="1:68">
      <c r="A265" s="149">
        <v>171</v>
      </c>
      <c r="B265" s="150" t="s">
        <v>159</v>
      </c>
      <c r="C265" s="151" t="s">
        <v>1185</v>
      </c>
      <c r="D265" s="150"/>
      <c r="E265" s="767"/>
      <c r="F265" s="152" t="s">
        <v>1996</v>
      </c>
      <c r="G265" s="150" t="s">
        <v>541</v>
      </c>
      <c r="H265" s="150" t="s">
        <v>541</v>
      </c>
      <c r="I265" s="150" t="s">
        <v>541</v>
      </c>
      <c r="J265" s="152">
        <v>249.09299999999999</v>
      </c>
      <c r="K265" s="148">
        <v>75</v>
      </c>
      <c r="L265" s="167">
        <v>20</v>
      </c>
      <c r="M265" s="156">
        <v>1.47E-3</v>
      </c>
      <c r="N265" s="154">
        <v>20</v>
      </c>
      <c r="O265" s="156">
        <v>5.4000000000000003E-3</v>
      </c>
      <c r="P265" s="154">
        <v>10</v>
      </c>
      <c r="Q265" s="156"/>
      <c r="R265" s="156"/>
      <c r="S265" s="153">
        <v>2.82</v>
      </c>
      <c r="T265" s="153">
        <f>10^S265</f>
        <v>660.69344800759643</v>
      </c>
      <c r="U265" s="153">
        <v>2.65</v>
      </c>
      <c r="V265" s="520">
        <f>10^U265</f>
        <v>446.68359215096331</v>
      </c>
      <c r="W265" s="684"/>
      <c r="X265" s="512"/>
      <c r="Y265" s="156"/>
      <c r="Z265" s="156"/>
      <c r="AA265" s="156"/>
      <c r="AB265" s="156"/>
      <c r="AC265" s="501"/>
      <c r="AD265" s="690"/>
      <c r="AE265" s="512">
        <v>2E-3</v>
      </c>
      <c r="AF265" s="150"/>
      <c r="AG265" s="156"/>
      <c r="AH265" s="156"/>
      <c r="AI265" s="690"/>
      <c r="AJ265" s="153"/>
      <c r="AK265" s="153"/>
      <c r="AL265" s="153"/>
      <c r="AM265" s="153"/>
      <c r="AN265" s="153"/>
      <c r="AO265" s="153"/>
      <c r="AP265" s="153"/>
      <c r="AQ265" s="153"/>
      <c r="AR265" s="153"/>
      <c r="AS265" s="810"/>
      <c r="AT265" s="173"/>
      <c r="AU265" s="153"/>
      <c r="AV265" s="156"/>
      <c r="AW265" s="153"/>
      <c r="AX265" s="156"/>
      <c r="AY265" s="153"/>
      <c r="AZ265" s="153"/>
      <c r="BA265" s="156"/>
      <c r="BB265" s="684"/>
      <c r="BC265" s="157"/>
      <c r="BD265" s="521"/>
      <c r="BE265" s="521"/>
      <c r="BF265" s="521"/>
      <c r="BG265" s="521"/>
      <c r="BH265" s="521"/>
      <c r="BI265" s="521"/>
      <c r="BJ265" s="795"/>
      <c r="BK265" s="523"/>
      <c r="BL265" s="521"/>
      <c r="BN265" s="343"/>
      <c r="BO265" s="343"/>
      <c r="BP265" s="343"/>
    </row>
    <row r="266" spans="1:68" ht="102">
      <c r="A266" s="149"/>
      <c r="B266" s="158"/>
      <c r="C266" s="151"/>
      <c r="D266" s="150"/>
      <c r="E266" s="767"/>
      <c r="F266" s="159"/>
      <c r="G266" s="159"/>
      <c r="H266" s="159"/>
      <c r="I266" s="170" t="s">
        <v>1139</v>
      </c>
      <c r="J266" s="159" t="s">
        <v>941</v>
      </c>
      <c r="K266" s="158" t="s">
        <v>1186</v>
      </c>
      <c r="L266" s="160"/>
      <c r="M266" s="158" t="s">
        <v>1186</v>
      </c>
      <c r="N266" s="160"/>
      <c r="O266" s="155" t="s">
        <v>654</v>
      </c>
      <c r="P266" s="160"/>
      <c r="Q266" s="160" t="s">
        <v>1096</v>
      </c>
      <c r="R266" s="160"/>
      <c r="S266" s="158" t="s">
        <v>1187</v>
      </c>
      <c r="T266" s="153"/>
      <c r="U266" s="158" t="s">
        <v>1188</v>
      </c>
      <c r="V266" s="520"/>
      <c r="W266" s="684"/>
      <c r="X266" s="159"/>
      <c r="Y266" s="158"/>
      <c r="Z266" s="158"/>
      <c r="AA266" s="158"/>
      <c r="AB266" s="158"/>
      <c r="AC266" s="502"/>
      <c r="AD266" s="695"/>
      <c r="AE266" s="159" t="s">
        <v>1177</v>
      </c>
      <c r="AF266" s="158"/>
      <c r="AG266" s="158"/>
      <c r="AH266" s="158"/>
      <c r="AI266" s="695"/>
      <c r="AJ266" s="161"/>
      <c r="AK266" s="161"/>
      <c r="AL266" s="161"/>
      <c r="AM266" s="161"/>
      <c r="AN266" s="161"/>
      <c r="AO266" s="161"/>
      <c r="AP266" s="161"/>
      <c r="AQ266" s="161"/>
      <c r="AR266" s="161"/>
      <c r="AS266" s="678"/>
      <c r="AT266" s="185"/>
      <c r="AU266" s="162"/>
      <c r="AV266" s="163"/>
      <c r="AW266" s="164"/>
      <c r="AX266" s="163"/>
      <c r="AY266" s="162"/>
      <c r="AZ266" s="164"/>
      <c r="BA266" s="163"/>
      <c r="BB266" s="695"/>
      <c r="BC266" s="165"/>
      <c r="BD266" s="522"/>
      <c r="BE266" s="522"/>
      <c r="BF266" s="522"/>
      <c r="BG266" s="522"/>
      <c r="BH266" s="522"/>
      <c r="BI266" s="522"/>
      <c r="BJ266" s="806"/>
      <c r="BK266" s="524"/>
      <c r="BL266" s="522"/>
      <c r="BN266" s="343"/>
      <c r="BO266" s="343"/>
      <c r="BP266" s="343"/>
    </row>
    <row r="267" spans="1:68">
      <c r="A267" s="149">
        <v>172</v>
      </c>
      <c r="B267" s="150" t="s">
        <v>160</v>
      </c>
      <c r="C267" s="151" t="s">
        <v>1189</v>
      </c>
      <c r="D267" s="150"/>
      <c r="E267" s="767"/>
      <c r="F267" s="188" t="s">
        <v>1996</v>
      </c>
      <c r="G267" s="150" t="s">
        <v>541</v>
      </c>
      <c r="H267" s="150" t="s">
        <v>541</v>
      </c>
      <c r="I267" s="150" t="s">
        <v>541</v>
      </c>
      <c r="J267" s="188">
        <v>202.21600000000001</v>
      </c>
      <c r="K267" s="148">
        <v>1800</v>
      </c>
      <c r="L267" s="167">
        <v>20</v>
      </c>
      <c r="M267" s="156">
        <v>8.6000000000000002E-7</v>
      </c>
      <c r="N267" s="154">
        <v>20</v>
      </c>
      <c r="O267" s="156">
        <v>9.6499999999999997E-8</v>
      </c>
      <c r="P267" s="154">
        <v>10</v>
      </c>
      <c r="Q267" s="156"/>
      <c r="R267" s="156"/>
      <c r="S267" s="153">
        <v>0.83</v>
      </c>
      <c r="T267" s="153">
        <f>10^S267</f>
        <v>6.7608297539198183</v>
      </c>
      <c r="U267" s="153">
        <v>0.44</v>
      </c>
      <c r="V267" s="520">
        <f>10^U267</f>
        <v>2.7542287033381663</v>
      </c>
      <c r="W267" s="787"/>
      <c r="X267" s="512"/>
      <c r="Y267" s="156"/>
      <c r="Z267" s="156"/>
      <c r="AA267" s="156"/>
      <c r="AB267" s="156"/>
      <c r="AC267" s="501"/>
      <c r="AD267" s="690"/>
      <c r="AE267" s="512">
        <v>0.03</v>
      </c>
      <c r="AF267" s="150"/>
      <c r="AG267" s="156"/>
      <c r="AH267" s="156"/>
      <c r="AI267" s="690"/>
      <c r="AJ267" s="153"/>
      <c r="AK267" s="153"/>
      <c r="AL267" s="153"/>
      <c r="AM267" s="153"/>
      <c r="AN267" s="153"/>
      <c r="AO267" s="153"/>
      <c r="AP267" s="153"/>
      <c r="AQ267" s="153"/>
      <c r="AR267" s="153"/>
      <c r="AS267" s="810"/>
      <c r="AT267" s="173"/>
      <c r="AU267" s="153"/>
      <c r="AV267" s="156"/>
      <c r="AW267" s="153"/>
      <c r="AX267" s="156"/>
      <c r="AY267" s="153"/>
      <c r="AZ267" s="153"/>
      <c r="BA267" s="156"/>
      <c r="BB267" s="684"/>
      <c r="BC267" s="157"/>
      <c r="BD267" s="521"/>
      <c r="BE267" s="521"/>
      <c r="BF267" s="521"/>
      <c r="BG267" s="521"/>
      <c r="BH267" s="521"/>
      <c r="BI267" s="521"/>
      <c r="BJ267" s="795"/>
      <c r="BK267" s="523"/>
      <c r="BL267" s="521"/>
      <c r="BN267" s="343"/>
      <c r="BO267" s="343"/>
      <c r="BP267" s="343"/>
    </row>
    <row r="268" spans="1:68" ht="38.25">
      <c r="A268" s="149"/>
      <c r="B268" s="158"/>
      <c r="C268" s="151"/>
      <c r="D268" s="150"/>
      <c r="E268" s="767"/>
      <c r="F268" s="159"/>
      <c r="G268" s="159"/>
      <c r="H268" s="159"/>
      <c r="I268" s="170" t="s">
        <v>1139</v>
      </c>
      <c r="J268" s="159" t="s">
        <v>1095</v>
      </c>
      <c r="K268" s="158" t="s">
        <v>1190</v>
      </c>
      <c r="L268" s="160"/>
      <c r="M268" s="158" t="s">
        <v>1190</v>
      </c>
      <c r="N268" s="160"/>
      <c r="O268" s="158" t="s">
        <v>1095</v>
      </c>
      <c r="P268" s="160"/>
      <c r="Q268" s="160" t="s">
        <v>1096</v>
      </c>
      <c r="R268" s="160"/>
      <c r="S268" s="158" t="s">
        <v>1095</v>
      </c>
      <c r="T268" s="153"/>
      <c r="U268" s="160" t="s">
        <v>1127</v>
      </c>
      <c r="V268" s="520"/>
      <c r="W268" s="788"/>
      <c r="X268" s="159"/>
      <c r="Y268" s="158"/>
      <c r="Z268" s="158"/>
      <c r="AA268" s="158"/>
      <c r="AB268" s="158"/>
      <c r="AC268" s="502"/>
      <c r="AD268" s="695"/>
      <c r="AE268" s="159" t="s">
        <v>1121</v>
      </c>
      <c r="AF268" s="158"/>
      <c r="AG268" s="158"/>
      <c r="AH268" s="158"/>
      <c r="AI268" s="695"/>
      <c r="AJ268" s="161"/>
      <c r="AK268" s="161"/>
      <c r="AL268" s="161"/>
      <c r="AM268" s="161"/>
      <c r="AN268" s="161"/>
      <c r="AO268" s="161"/>
      <c r="AP268" s="161"/>
      <c r="AQ268" s="161"/>
      <c r="AR268" s="161"/>
      <c r="AS268" s="678"/>
      <c r="AT268" s="185"/>
      <c r="AU268" s="162"/>
      <c r="AV268" s="163"/>
      <c r="AW268" s="164"/>
      <c r="AX268" s="163"/>
      <c r="AY268" s="162"/>
      <c r="AZ268" s="164"/>
      <c r="BA268" s="163"/>
      <c r="BB268" s="695"/>
      <c r="BC268" s="165"/>
      <c r="BD268" s="522"/>
      <c r="BE268" s="522"/>
      <c r="BF268" s="522"/>
      <c r="BG268" s="522"/>
      <c r="BH268" s="522"/>
      <c r="BI268" s="522"/>
      <c r="BJ268" s="806"/>
      <c r="BK268" s="524"/>
      <c r="BL268" s="522"/>
      <c r="BN268" s="343"/>
      <c r="BO268" s="343"/>
      <c r="BP268" s="343"/>
    </row>
    <row r="269" spans="1:68">
      <c r="A269" s="149">
        <v>173</v>
      </c>
      <c r="B269" s="150" t="s">
        <v>161</v>
      </c>
      <c r="C269" s="151" t="s">
        <v>1191</v>
      </c>
      <c r="D269" s="150"/>
      <c r="E269" s="767"/>
      <c r="F269" s="188" t="s">
        <v>1996</v>
      </c>
      <c r="G269" s="150" t="s">
        <v>541</v>
      </c>
      <c r="H269" s="150" t="s">
        <v>541</v>
      </c>
      <c r="I269" s="150" t="s">
        <v>541</v>
      </c>
      <c r="J269" s="188">
        <v>277.75299999999999</v>
      </c>
      <c r="K269" s="156">
        <v>430</v>
      </c>
      <c r="L269" s="154">
        <v>20</v>
      </c>
      <c r="M269" s="156">
        <v>9.5000000000000005E-5</v>
      </c>
      <c r="N269" s="154">
        <v>20</v>
      </c>
      <c r="O269" s="156">
        <v>5.7399999999999999E-5</v>
      </c>
      <c r="P269" s="154">
        <v>10</v>
      </c>
      <c r="Q269" s="156"/>
      <c r="R269" s="156"/>
      <c r="S269" s="153">
        <v>2.13</v>
      </c>
      <c r="T269" s="153">
        <f>10^S269</f>
        <v>134.89628825916537</v>
      </c>
      <c r="U269" s="153">
        <v>1.74</v>
      </c>
      <c r="V269" s="520">
        <f>10^U269</f>
        <v>54.95408738576247</v>
      </c>
      <c r="W269" s="684"/>
      <c r="X269" s="512"/>
      <c r="Y269" s="156"/>
      <c r="Z269" s="156"/>
      <c r="AA269" s="156"/>
      <c r="AB269" s="156"/>
      <c r="AC269" s="501"/>
      <c r="AD269" s="690"/>
      <c r="AE269" s="512">
        <v>0.08</v>
      </c>
      <c r="AF269" s="150"/>
      <c r="AG269" s="156"/>
      <c r="AH269" s="156"/>
      <c r="AI269" s="690"/>
      <c r="AJ269" s="153"/>
      <c r="AK269" s="153"/>
      <c r="AL269" s="153"/>
      <c r="AM269" s="153"/>
      <c r="AN269" s="153"/>
      <c r="AO269" s="153"/>
      <c r="AP269" s="153"/>
      <c r="AQ269" s="153"/>
      <c r="AR269" s="153"/>
      <c r="AS269" s="810"/>
      <c r="AT269" s="173"/>
      <c r="AU269" s="153"/>
      <c r="AV269" s="156"/>
      <c r="AW269" s="153"/>
      <c r="AX269" s="156"/>
      <c r="AY269" s="153"/>
      <c r="AZ269" s="153"/>
      <c r="BA269" s="156"/>
      <c r="BB269" s="684"/>
      <c r="BC269" s="157"/>
      <c r="BD269" s="521"/>
      <c r="BE269" s="521"/>
      <c r="BF269" s="521"/>
      <c r="BG269" s="521"/>
      <c r="BH269" s="521"/>
      <c r="BI269" s="521"/>
      <c r="BJ269" s="795"/>
      <c r="BK269" s="523"/>
      <c r="BL269" s="521"/>
      <c r="BN269" s="343"/>
      <c r="BO269" s="343"/>
      <c r="BP269" s="343"/>
    </row>
    <row r="270" spans="1:68" ht="38.25">
      <c r="A270" s="149"/>
      <c r="B270" s="158"/>
      <c r="C270" s="151"/>
      <c r="D270" s="150"/>
      <c r="E270" s="767"/>
      <c r="F270" s="159"/>
      <c r="G270" s="159"/>
      <c r="H270" s="159"/>
      <c r="I270" s="170" t="s">
        <v>1139</v>
      </c>
      <c r="J270" s="159" t="s">
        <v>1095</v>
      </c>
      <c r="K270" s="158" t="s">
        <v>1190</v>
      </c>
      <c r="L270" s="160"/>
      <c r="M270" s="158" t="s">
        <v>1192</v>
      </c>
      <c r="N270" s="160"/>
      <c r="O270" s="158" t="s">
        <v>1095</v>
      </c>
      <c r="P270" s="160"/>
      <c r="Q270" s="160" t="s">
        <v>1096</v>
      </c>
      <c r="R270" s="160"/>
      <c r="S270" s="158" t="s">
        <v>1095</v>
      </c>
      <c r="T270" s="153"/>
      <c r="U270" s="160" t="s">
        <v>1127</v>
      </c>
      <c r="V270" s="520"/>
      <c r="W270" s="684"/>
      <c r="X270" s="159"/>
      <c r="Y270" s="158"/>
      <c r="Z270" s="158"/>
      <c r="AA270" s="158"/>
      <c r="AB270" s="158"/>
      <c r="AC270" s="502"/>
      <c r="AD270" s="695"/>
      <c r="AE270" s="159" t="s">
        <v>1121</v>
      </c>
      <c r="AF270" s="158"/>
      <c r="AG270" s="158"/>
      <c r="AH270" s="158"/>
      <c r="AI270" s="695"/>
      <c r="AJ270" s="161"/>
      <c r="AK270" s="161"/>
      <c r="AL270" s="161"/>
      <c r="AM270" s="161"/>
      <c r="AN270" s="161"/>
      <c r="AO270" s="161"/>
      <c r="AP270" s="161"/>
      <c r="AQ270" s="161"/>
      <c r="AR270" s="161"/>
      <c r="AS270" s="678"/>
      <c r="AT270" s="185"/>
      <c r="AU270" s="162"/>
      <c r="AV270" s="163"/>
      <c r="AW270" s="164"/>
      <c r="AX270" s="163"/>
      <c r="AY270" s="162"/>
      <c r="AZ270" s="164"/>
      <c r="BA270" s="163"/>
      <c r="BB270" s="695"/>
      <c r="BC270" s="165"/>
      <c r="BD270" s="522"/>
      <c r="BE270" s="522"/>
      <c r="BF270" s="522"/>
      <c r="BG270" s="522"/>
      <c r="BH270" s="522"/>
      <c r="BI270" s="522"/>
      <c r="BJ270" s="806"/>
      <c r="BK270" s="524"/>
      <c r="BL270" s="522"/>
      <c r="BN270" s="343"/>
      <c r="BO270" s="343"/>
      <c r="BP270" s="343"/>
    </row>
    <row r="271" spans="1:68">
      <c r="A271" s="149">
        <v>174</v>
      </c>
      <c r="B271" s="150" t="s">
        <v>162</v>
      </c>
      <c r="C271" s="151" t="s">
        <v>1193</v>
      </c>
      <c r="D271" s="150"/>
      <c r="E271" s="767"/>
      <c r="F271" s="188" t="s">
        <v>1996</v>
      </c>
      <c r="G271" s="150" t="s">
        <v>541</v>
      </c>
      <c r="H271" s="150" t="s">
        <v>541</v>
      </c>
      <c r="I271" s="150" t="s">
        <v>541</v>
      </c>
      <c r="J271" s="188">
        <v>221.28299999999999</v>
      </c>
      <c r="K271" s="153">
        <v>59</v>
      </c>
      <c r="L271" s="154">
        <v>20</v>
      </c>
      <c r="M271" s="153" t="s">
        <v>1194</v>
      </c>
      <c r="N271" s="154">
        <v>20</v>
      </c>
      <c r="O271" s="156">
        <v>5.6499999999999998E-5</v>
      </c>
      <c r="P271" s="154">
        <v>10</v>
      </c>
      <c r="Q271" s="156"/>
      <c r="R271" s="156"/>
      <c r="S271" s="153">
        <v>2.64</v>
      </c>
      <c r="T271" s="153">
        <f>10^S271</f>
        <v>436.51583224016622</v>
      </c>
      <c r="U271" s="153">
        <v>2.72</v>
      </c>
      <c r="V271" s="520">
        <f>10^U271</f>
        <v>524.80746024977293</v>
      </c>
      <c r="W271" s="684"/>
      <c r="X271" s="512"/>
      <c r="Y271" s="156"/>
      <c r="Z271" s="156"/>
      <c r="AA271" s="156"/>
      <c r="AB271" s="156"/>
      <c r="AC271" s="501"/>
      <c r="AD271" s="690"/>
      <c r="AE271" s="512"/>
      <c r="AF271" s="150"/>
      <c r="AG271" s="156"/>
      <c r="AH271" s="156"/>
      <c r="AI271" s="690"/>
      <c r="AJ271" s="153"/>
      <c r="AK271" s="153"/>
      <c r="AL271" s="153"/>
      <c r="AM271" s="153"/>
      <c r="AN271" s="153"/>
      <c r="AO271" s="153"/>
      <c r="AP271" s="153"/>
      <c r="AQ271" s="153"/>
      <c r="AR271" s="153"/>
      <c r="AS271" s="810"/>
      <c r="AT271" s="173"/>
      <c r="AU271" s="153"/>
      <c r="AV271" s="156"/>
      <c r="AW271" s="153"/>
      <c r="AX271" s="156"/>
      <c r="AY271" s="153"/>
      <c r="AZ271" s="153"/>
      <c r="BA271" s="156"/>
      <c r="BB271" s="684"/>
      <c r="BC271" s="157"/>
      <c r="BD271" s="521"/>
      <c r="BE271" s="521"/>
      <c r="BF271" s="521"/>
      <c r="BG271" s="521"/>
      <c r="BH271" s="521"/>
      <c r="BI271" s="521"/>
      <c r="BJ271" s="795"/>
      <c r="BK271" s="523"/>
      <c r="BL271" s="521"/>
      <c r="BN271" s="343"/>
      <c r="BO271" s="343"/>
      <c r="BP271" s="343"/>
    </row>
    <row r="272" spans="1:68" ht="25.5">
      <c r="A272" s="149"/>
      <c r="B272" s="158"/>
      <c r="C272" s="151"/>
      <c r="D272" s="150"/>
      <c r="E272" s="767"/>
      <c r="F272" s="159"/>
      <c r="G272" s="159"/>
      <c r="H272" s="159"/>
      <c r="I272" s="170" t="s">
        <v>541</v>
      </c>
      <c r="J272" s="159" t="s">
        <v>1095</v>
      </c>
      <c r="K272" s="158" t="s">
        <v>1190</v>
      </c>
      <c r="L272" s="160"/>
      <c r="M272" s="158" t="s">
        <v>1190</v>
      </c>
      <c r="N272" s="160"/>
      <c r="O272" s="158" t="s">
        <v>1095</v>
      </c>
      <c r="P272" s="160"/>
      <c r="Q272" s="160" t="s">
        <v>1096</v>
      </c>
      <c r="R272" s="160"/>
      <c r="S272" s="158" t="s">
        <v>1095</v>
      </c>
      <c r="T272" s="153"/>
      <c r="U272" s="160" t="s">
        <v>1195</v>
      </c>
      <c r="V272" s="520"/>
      <c r="W272" s="695"/>
      <c r="X272" s="159"/>
      <c r="Y272" s="158"/>
      <c r="Z272" s="158"/>
      <c r="AA272" s="158"/>
      <c r="AB272" s="158"/>
      <c r="AC272" s="502"/>
      <c r="AD272" s="695"/>
      <c r="AE272" s="159"/>
      <c r="AF272" s="158"/>
      <c r="AG272" s="158"/>
      <c r="AH272" s="158"/>
      <c r="AI272" s="695"/>
      <c r="AJ272" s="161"/>
      <c r="AK272" s="161"/>
      <c r="AL272" s="161"/>
      <c r="AM272" s="161"/>
      <c r="AN272" s="161"/>
      <c r="AO272" s="161"/>
      <c r="AP272" s="161"/>
      <c r="AQ272" s="161"/>
      <c r="AR272" s="161"/>
      <c r="AS272" s="678"/>
      <c r="AT272" s="185"/>
      <c r="AU272" s="162"/>
      <c r="AV272" s="163"/>
      <c r="AW272" s="164"/>
      <c r="AX272" s="163"/>
      <c r="AY272" s="162"/>
      <c r="AZ272" s="164"/>
      <c r="BA272" s="163"/>
      <c r="BB272" s="695"/>
      <c r="BC272" s="165"/>
      <c r="BD272" s="522"/>
      <c r="BE272" s="522"/>
      <c r="BF272" s="522"/>
      <c r="BG272" s="522"/>
      <c r="BH272" s="522"/>
      <c r="BI272" s="522"/>
      <c r="BJ272" s="806"/>
      <c r="BK272" s="524"/>
      <c r="BL272" s="522"/>
      <c r="BN272" s="343"/>
      <c r="BO272" s="343"/>
      <c r="BP272" s="343"/>
    </row>
    <row r="273" spans="1:68">
      <c r="A273" s="149">
        <v>175</v>
      </c>
      <c r="B273" s="150" t="s">
        <v>163</v>
      </c>
      <c r="C273" s="151" t="s">
        <v>1196</v>
      </c>
      <c r="D273" s="150"/>
      <c r="E273" s="767"/>
      <c r="F273" s="188" t="s">
        <v>1996</v>
      </c>
      <c r="G273" s="150" t="s">
        <v>541</v>
      </c>
      <c r="H273" s="150" t="s">
        <v>541</v>
      </c>
      <c r="I273" s="150" t="s">
        <v>541</v>
      </c>
      <c r="J273" s="188">
        <v>259.09899999999999</v>
      </c>
      <c r="K273" s="148">
        <v>320</v>
      </c>
      <c r="L273" s="167">
        <v>20</v>
      </c>
      <c r="M273" s="156">
        <v>4.0000000000000002E-4</v>
      </c>
      <c r="N273" s="154">
        <v>20</v>
      </c>
      <c r="O273" s="156">
        <v>3.1399999999999999E-4</v>
      </c>
      <c r="P273" s="154">
        <v>10</v>
      </c>
      <c r="Q273" s="156"/>
      <c r="R273" s="156"/>
      <c r="S273" s="153">
        <v>2.38</v>
      </c>
      <c r="T273" s="153">
        <f>10^S273</f>
        <v>239.88329190194912</v>
      </c>
      <c r="U273" s="153">
        <v>1.99</v>
      </c>
      <c r="V273" s="520">
        <f>10^U273</f>
        <v>97.723722095581124</v>
      </c>
      <c r="W273" s="787"/>
      <c r="X273" s="512"/>
      <c r="Y273" s="156"/>
      <c r="Z273" s="156"/>
      <c r="AA273" s="156"/>
      <c r="AB273" s="156"/>
      <c r="AC273" s="501"/>
      <c r="AD273" s="690"/>
      <c r="AE273" s="512">
        <v>8.0000000000000002E-3</v>
      </c>
      <c r="AF273" s="156"/>
      <c r="AG273" s="156"/>
      <c r="AH273" s="156"/>
      <c r="AI273" s="690"/>
      <c r="AJ273" s="153"/>
      <c r="AK273" s="153"/>
      <c r="AL273" s="153"/>
      <c r="AM273" s="153"/>
      <c r="AN273" s="153"/>
      <c r="AO273" s="153"/>
      <c r="AP273" s="153"/>
      <c r="AQ273" s="153"/>
      <c r="AR273" s="153"/>
      <c r="AS273" s="810"/>
      <c r="AT273" s="173"/>
      <c r="AU273" s="153"/>
      <c r="AV273" s="156"/>
      <c r="AW273" s="153"/>
      <c r="AX273" s="156"/>
      <c r="AY273" s="153"/>
      <c r="AZ273" s="153"/>
      <c r="BA273" s="156"/>
      <c r="BB273" s="684"/>
      <c r="BC273" s="157"/>
      <c r="BD273" s="521"/>
      <c r="BE273" s="521"/>
      <c r="BF273" s="521"/>
      <c r="BG273" s="521"/>
      <c r="BH273" s="521"/>
      <c r="BI273" s="521"/>
      <c r="BJ273" s="795"/>
      <c r="BK273" s="523"/>
      <c r="BL273" s="521"/>
      <c r="BN273" s="343"/>
      <c r="BO273" s="343"/>
      <c r="BP273" s="343"/>
    </row>
    <row r="274" spans="1:68" ht="63.75">
      <c r="A274" s="149"/>
      <c r="B274" s="158"/>
      <c r="C274" s="151"/>
      <c r="D274" s="150"/>
      <c r="E274" s="767"/>
      <c r="F274" s="159"/>
      <c r="G274" s="159"/>
      <c r="H274" s="159"/>
      <c r="I274" s="158" t="s">
        <v>541</v>
      </c>
      <c r="J274" s="159" t="s">
        <v>941</v>
      </c>
      <c r="K274" s="158" t="s">
        <v>1197</v>
      </c>
      <c r="L274" s="160"/>
      <c r="M274" s="158" t="s">
        <v>1197</v>
      </c>
      <c r="N274" s="160"/>
      <c r="O274" s="158" t="s">
        <v>1095</v>
      </c>
      <c r="P274" s="160"/>
      <c r="Q274" s="160" t="s">
        <v>1096</v>
      </c>
      <c r="R274" s="160"/>
      <c r="S274" s="158" t="s">
        <v>1095</v>
      </c>
      <c r="T274" s="153"/>
      <c r="U274" s="158" t="s">
        <v>1198</v>
      </c>
      <c r="V274" s="520"/>
      <c r="W274" s="788"/>
      <c r="X274" s="159"/>
      <c r="Y274" s="158"/>
      <c r="Z274" s="158"/>
      <c r="AA274" s="158"/>
      <c r="AB274" s="158"/>
      <c r="AC274" s="502"/>
      <c r="AD274" s="695"/>
      <c r="AE274" s="159" t="s">
        <v>1121</v>
      </c>
      <c r="AF274" s="158"/>
      <c r="AG274" s="158"/>
      <c r="AH274" s="158"/>
      <c r="AI274" s="695"/>
      <c r="AJ274" s="161"/>
      <c r="AK274" s="161"/>
      <c r="AL274" s="161"/>
      <c r="AM274" s="161"/>
      <c r="AN274" s="161"/>
      <c r="AO274" s="161"/>
      <c r="AP274" s="161"/>
      <c r="AQ274" s="161"/>
      <c r="AR274" s="161"/>
      <c r="AS274" s="678"/>
      <c r="AT274" s="185"/>
      <c r="AU274" s="162"/>
      <c r="AV274" s="163"/>
      <c r="AW274" s="164"/>
      <c r="AX274" s="163"/>
      <c r="AY274" s="162"/>
      <c r="AZ274" s="164"/>
      <c r="BA274" s="163"/>
      <c r="BB274" s="695"/>
      <c r="BC274" s="165"/>
      <c r="BD274" s="522"/>
      <c r="BE274" s="522"/>
      <c r="BF274" s="522"/>
      <c r="BG274" s="522"/>
      <c r="BH274" s="522"/>
      <c r="BI274" s="522"/>
      <c r="BJ274" s="806"/>
      <c r="BK274" s="524"/>
      <c r="BL274" s="522"/>
      <c r="BN274" s="343"/>
      <c r="BO274" s="343"/>
      <c r="BP274" s="343"/>
    </row>
    <row r="275" spans="1:68">
      <c r="A275" s="149">
        <v>176</v>
      </c>
      <c r="B275" s="150" t="s">
        <v>164</v>
      </c>
      <c r="C275" s="151" t="s">
        <v>1199</v>
      </c>
      <c r="D275" s="150"/>
      <c r="E275" s="767"/>
      <c r="F275" s="152" t="s">
        <v>1996</v>
      </c>
      <c r="G275" s="150" t="s">
        <v>541</v>
      </c>
      <c r="H275" s="150" t="s">
        <v>541</v>
      </c>
      <c r="I275" s="150" t="s">
        <v>541</v>
      </c>
      <c r="J275" s="152">
        <v>283.79500000000002</v>
      </c>
      <c r="K275" s="148">
        <v>530</v>
      </c>
      <c r="L275" s="167">
        <v>20</v>
      </c>
      <c r="M275" s="156">
        <v>1.6999999999999999E-3</v>
      </c>
      <c r="N275" s="154">
        <v>20</v>
      </c>
      <c r="O275" s="156">
        <v>9.3000000000000005E-4</v>
      </c>
      <c r="P275" s="154">
        <v>10</v>
      </c>
      <c r="Q275" s="156"/>
      <c r="R275" s="156"/>
      <c r="S275" s="153">
        <v>3.14</v>
      </c>
      <c r="T275" s="153">
        <f>10^S275</f>
        <v>1380.3842646028863</v>
      </c>
      <c r="U275" s="153">
        <v>2.31</v>
      </c>
      <c r="V275" s="520">
        <f>10^U275</f>
        <v>204.17379446695315</v>
      </c>
      <c r="W275" s="787"/>
      <c r="X275" s="512"/>
      <c r="Y275" s="156"/>
      <c r="Z275" s="156"/>
      <c r="AA275" s="156"/>
      <c r="AB275" s="156"/>
      <c r="AC275" s="501"/>
      <c r="AD275" s="690"/>
      <c r="AE275" s="512">
        <v>3.5000000000000001E-3</v>
      </c>
      <c r="AF275" s="156"/>
      <c r="AG275" s="156"/>
      <c r="AH275" s="156"/>
      <c r="AI275" s="690"/>
      <c r="AJ275" s="153"/>
      <c r="AK275" s="153"/>
      <c r="AL275" s="153"/>
      <c r="AM275" s="153"/>
      <c r="AN275" s="153"/>
      <c r="AO275" s="153"/>
      <c r="AP275" s="153"/>
      <c r="AQ275" s="153"/>
      <c r="AR275" s="153"/>
      <c r="AS275" s="810"/>
      <c r="AT275" s="173"/>
      <c r="AU275" s="153"/>
      <c r="AV275" s="156"/>
      <c r="AW275" s="153"/>
      <c r="AX275" s="156"/>
      <c r="AY275" s="153"/>
      <c r="AZ275" s="153"/>
      <c r="BA275" s="156"/>
      <c r="BB275" s="684"/>
      <c r="BC275" s="157"/>
      <c r="BD275" s="521"/>
      <c r="BE275" s="521"/>
      <c r="BF275" s="521"/>
      <c r="BG275" s="521"/>
      <c r="BH275" s="521"/>
      <c r="BI275" s="521"/>
      <c r="BJ275" s="795"/>
      <c r="BK275" s="523"/>
      <c r="BL275" s="521"/>
      <c r="BN275" s="343"/>
      <c r="BO275" s="343"/>
      <c r="BP275" s="343"/>
    </row>
    <row r="276" spans="1:68" ht="102">
      <c r="A276" s="149"/>
      <c r="B276" s="158"/>
      <c r="C276" s="151"/>
      <c r="D276" s="150"/>
      <c r="E276" s="767"/>
      <c r="F276" s="159"/>
      <c r="G276" s="159"/>
      <c r="H276" s="159"/>
      <c r="I276" s="170" t="s">
        <v>1139</v>
      </c>
      <c r="J276" s="159" t="s">
        <v>941</v>
      </c>
      <c r="K276" s="160" t="s">
        <v>1200</v>
      </c>
      <c r="L276" s="160"/>
      <c r="M276" s="160" t="s">
        <v>1200</v>
      </c>
      <c r="N276" s="160"/>
      <c r="O276" s="155" t="s">
        <v>654</v>
      </c>
      <c r="P276" s="160"/>
      <c r="Q276" s="160" t="s">
        <v>1096</v>
      </c>
      <c r="R276" s="160"/>
      <c r="S276" s="158" t="s">
        <v>1201</v>
      </c>
      <c r="T276" s="153"/>
      <c r="U276" s="158" t="s">
        <v>1201</v>
      </c>
      <c r="V276" s="520"/>
      <c r="W276" s="788"/>
      <c r="X276" s="159"/>
      <c r="Y276" s="158"/>
      <c r="Z276" s="158"/>
      <c r="AA276" s="158"/>
      <c r="AB276" s="158"/>
      <c r="AC276" s="502"/>
      <c r="AD276" s="695"/>
      <c r="AE276" s="159" t="s">
        <v>1202</v>
      </c>
      <c r="AF276" s="158"/>
      <c r="AG276" s="158"/>
      <c r="AH276" s="158"/>
      <c r="AI276" s="695"/>
      <c r="AJ276" s="161"/>
      <c r="AK276" s="161"/>
      <c r="AL276" s="161"/>
      <c r="AM276" s="161"/>
      <c r="AN276" s="161"/>
      <c r="AO276" s="161"/>
      <c r="AP276" s="161"/>
      <c r="AQ276" s="161"/>
      <c r="AR276" s="161"/>
      <c r="AS276" s="678"/>
      <c r="AT276" s="185"/>
      <c r="AU276" s="162"/>
      <c r="AV276" s="163"/>
      <c r="AW276" s="164"/>
      <c r="AX276" s="163"/>
      <c r="AY276" s="162"/>
      <c r="AZ276" s="164"/>
      <c r="BA276" s="163"/>
      <c r="BB276" s="695"/>
      <c r="BC276" s="165"/>
      <c r="BD276" s="522"/>
      <c r="BE276" s="522"/>
      <c r="BF276" s="522"/>
      <c r="BG276" s="522"/>
      <c r="BH276" s="522"/>
      <c r="BI276" s="522"/>
      <c r="BJ276" s="806"/>
      <c r="BK276" s="524"/>
      <c r="BL276" s="522"/>
      <c r="BN276" s="343"/>
      <c r="BO276" s="343"/>
      <c r="BP276" s="343"/>
    </row>
    <row r="277" spans="1:68">
      <c r="A277" s="149">
        <v>178</v>
      </c>
      <c r="B277" s="150" t="s">
        <v>165</v>
      </c>
      <c r="C277" s="151" t="s">
        <v>1203</v>
      </c>
      <c r="D277" s="150"/>
      <c r="E277" s="767"/>
      <c r="F277" s="152" t="s">
        <v>1996</v>
      </c>
      <c r="G277" s="150" t="s">
        <v>541</v>
      </c>
      <c r="H277" s="150" t="s">
        <v>541</v>
      </c>
      <c r="I277" s="150" t="s">
        <v>541</v>
      </c>
      <c r="J277" s="152">
        <v>214.648</v>
      </c>
      <c r="K277" s="148">
        <v>735</v>
      </c>
      <c r="L277" s="167">
        <v>20</v>
      </c>
      <c r="M277" s="156">
        <v>1.9900000000000001E-2</v>
      </c>
      <c r="N277" s="154">
        <v>20</v>
      </c>
      <c r="O277" s="156">
        <v>5.7999999999999996E-3</v>
      </c>
      <c r="P277" s="154">
        <v>10</v>
      </c>
      <c r="Q277" s="156"/>
      <c r="R277" s="156"/>
      <c r="S277" s="153">
        <v>2.09</v>
      </c>
      <c r="T277" s="153">
        <f>10^S277</f>
        <v>123.02687708123821</v>
      </c>
      <c r="U277" s="153">
        <v>1.96</v>
      </c>
      <c r="V277" s="520">
        <f>10^U277</f>
        <v>91.201083935590972</v>
      </c>
      <c r="W277" s="787"/>
      <c r="X277" s="512"/>
      <c r="Y277" s="156"/>
      <c r="Z277" s="156"/>
      <c r="AA277" s="156"/>
      <c r="AB277" s="156"/>
      <c r="AC277" s="501"/>
      <c r="AD277" s="690"/>
      <c r="AE277" s="512">
        <v>3.0000000000000001E-3</v>
      </c>
      <c r="AF277" s="150"/>
      <c r="AG277" s="156"/>
      <c r="AH277" s="156"/>
      <c r="AI277" s="690"/>
      <c r="AJ277" s="153"/>
      <c r="AK277" s="153"/>
      <c r="AL277" s="153"/>
      <c r="AM277" s="153"/>
      <c r="AN277" s="153"/>
      <c r="AO277" s="153"/>
      <c r="AP277" s="153"/>
      <c r="AQ277" s="153"/>
      <c r="AR277" s="153"/>
      <c r="AS277" s="810"/>
      <c r="AT277" s="173"/>
      <c r="AU277" s="153"/>
      <c r="AV277" s="156"/>
      <c r="AW277" s="153"/>
      <c r="AX277" s="156"/>
      <c r="AY277" s="153"/>
      <c r="AZ277" s="153"/>
      <c r="BA277" s="156"/>
      <c r="BB277" s="684"/>
      <c r="BC277" s="157"/>
      <c r="BD277" s="521"/>
      <c r="BE277" s="521"/>
      <c r="BF277" s="521"/>
      <c r="BG277" s="521"/>
      <c r="BH277" s="521"/>
      <c r="BI277" s="521"/>
      <c r="BJ277" s="795"/>
      <c r="BK277" s="523"/>
      <c r="BL277" s="521"/>
      <c r="BN277" s="343"/>
      <c r="BO277" s="343"/>
      <c r="BP277" s="343"/>
    </row>
    <row r="278" spans="1:68" ht="102">
      <c r="A278" s="149"/>
      <c r="B278" s="158"/>
      <c r="C278" s="151"/>
      <c r="D278" s="150"/>
      <c r="E278" s="767"/>
      <c r="F278" s="159"/>
      <c r="G278" s="159"/>
      <c r="H278" s="159"/>
      <c r="I278" s="170" t="s">
        <v>1139</v>
      </c>
      <c r="J278" s="159" t="s">
        <v>941</v>
      </c>
      <c r="K278" s="160" t="s">
        <v>1204</v>
      </c>
      <c r="L278" s="160"/>
      <c r="M278" s="160" t="s">
        <v>1205</v>
      </c>
      <c r="N278" s="160"/>
      <c r="O278" s="155" t="s">
        <v>654</v>
      </c>
      <c r="P278" s="160"/>
      <c r="Q278" s="160" t="s">
        <v>1096</v>
      </c>
      <c r="R278" s="160"/>
      <c r="S278" s="158" t="s">
        <v>1206</v>
      </c>
      <c r="T278" s="153"/>
      <c r="U278" s="158" t="s">
        <v>1207</v>
      </c>
      <c r="V278" s="520"/>
      <c r="W278" s="788"/>
      <c r="X278" s="159"/>
      <c r="Y278" s="158"/>
      <c r="Z278" s="158"/>
      <c r="AA278" s="158"/>
      <c r="AB278" s="158"/>
      <c r="AC278" s="502"/>
      <c r="AD278" s="695"/>
      <c r="AE278" s="159" t="s">
        <v>1121</v>
      </c>
      <c r="AF278" s="158"/>
      <c r="AG278" s="158"/>
      <c r="AH278" s="158"/>
      <c r="AI278" s="695"/>
      <c r="AJ278" s="161"/>
      <c r="AK278" s="161"/>
      <c r="AL278" s="161"/>
      <c r="AM278" s="161"/>
      <c r="AN278" s="161"/>
      <c r="AO278" s="161"/>
      <c r="AP278" s="161"/>
      <c r="AQ278" s="161"/>
      <c r="AR278" s="161"/>
      <c r="AS278" s="678"/>
      <c r="AT278" s="185"/>
      <c r="AU278" s="162"/>
      <c r="AV278" s="163"/>
      <c r="AW278" s="164"/>
      <c r="AX278" s="163"/>
      <c r="AY278" s="162"/>
      <c r="AZ278" s="164"/>
      <c r="BA278" s="163"/>
      <c r="BB278" s="695"/>
      <c r="BC278" s="165"/>
      <c r="BD278" s="522"/>
      <c r="BE278" s="522"/>
      <c r="BF278" s="522"/>
      <c r="BG278" s="522"/>
      <c r="BH278" s="522"/>
      <c r="BI278" s="522"/>
      <c r="BJ278" s="806"/>
      <c r="BK278" s="524"/>
      <c r="BL278" s="522"/>
      <c r="BN278" s="343"/>
      <c r="BO278" s="343"/>
      <c r="BP278" s="343"/>
    </row>
    <row r="279" spans="1:68" ht="25.5">
      <c r="A279" s="149">
        <v>179</v>
      </c>
      <c r="B279" s="150" t="s">
        <v>109</v>
      </c>
      <c r="C279" s="151" t="s">
        <v>747</v>
      </c>
      <c r="D279" s="682" t="s">
        <v>2540</v>
      </c>
      <c r="E279" s="767"/>
      <c r="F279" s="284"/>
      <c r="G279" s="284"/>
      <c r="H279" s="284"/>
      <c r="I279" s="259">
        <v>4.7</v>
      </c>
      <c r="J279" s="284">
        <v>266.33999999999997</v>
      </c>
      <c r="K279" s="258">
        <v>14</v>
      </c>
      <c r="L279" s="271">
        <v>20</v>
      </c>
      <c r="M279" s="264">
        <v>1.47E-2</v>
      </c>
      <c r="N279" s="262">
        <v>20</v>
      </c>
      <c r="O279" s="264">
        <v>2.48E-3</v>
      </c>
      <c r="P279" s="262">
        <v>10</v>
      </c>
      <c r="Q279" s="276">
        <v>2.2400000000000002E-6</v>
      </c>
      <c r="R279" s="276"/>
      <c r="S279" s="261">
        <v>5.07</v>
      </c>
      <c r="T279" s="261">
        <f>10^S279</f>
        <v>117489.75549395311</v>
      </c>
      <c r="U279" s="261">
        <v>3.64</v>
      </c>
      <c r="V279" s="519">
        <f>10^U279</f>
        <v>4365.1583224016631</v>
      </c>
      <c r="W279" s="787"/>
      <c r="X279" s="511"/>
      <c r="Y279" s="264"/>
      <c r="Z279" s="264"/>
      <c r="AA279" s="264"/>
      <c r="AB279" s="264"/>
      <c r="AC279" s="499"/>
      <c r="AD279" s="690"/>
      <c r="AE279" s="511">
        <v>1E-3</v>
      </c>
      <c r="AF279" s="259"/>
      <c r="AG279" s="264">
        <v>2.5000000000000001E-5</v>
      </c>
      <c r="AH279" s="264">
        <v>1.9599999999999999E-3</v>
      </c>
      <c r="AI279" s="690"/>
      <c r="AJ279" s="153"/>
      <c r="AK279" s="153"/>
      <c r="AL279" s="153"/>
      <c r="AM279" s="153"/>
      <c r="AN279" s="153"/>
      <c r="AO279" s="153"/>
      <c r="AP279" s="153"/>
      <c r="AQ279" s="153"/>
      <c r="AR279" s="153"/>
      <c r="AS279" s="810"/>
      <c r="AT279" s="173"/>
      <c r="AU279" s="153"/>
      <c r="AV279" s="156"/>
      <c r="AW279" s="153"/>
      <c r="AX279" s="156"/>
      <c r="AY279" s="153"/>
      <c r="AZ279" s="153"/>
      <c r="BA279" s="156"/>
      <c r="BB279" s="684"/>
      <c r="BC279" s="157"/>
      <c r="BD279" s="521"/>
      <c r="BE279" s="521"/>
      <c r="BF279" s="521"/>
      <c r="BG279" s="521"/>
      <c r="BH279" s="521"/>
      <c r="BI279" s="521"/>
      <c r="BJ279" s="795"/>
      <c r="BK279" s="523"/>
      <c r="BL279" s="521"/>
      <c r="BN279" s="343"/>
      <c r="BO279" s="343"/>
      <c r="BP279" s="343"/>
    </row>
    <row r="280" spans="1:68" ht="242.25">
      <c r="A280" s="149"/>
      <c r="B280" s="158"/>
      <c r="C280" s="151"/>
      <c r="D280" s="150"/>
      <c r="E280" s="767"/>
      <c r="F280" s="266"/>
      <c r="G280" s="266"/>
      <c r="H280" s="266"/>
      <c r="I280" s="274" t="s">
        <v>1211</v>
      </c>
      <c r="J280" s="266" t="s">
        <v>941</v>
      </c>
      <c r="K280" s="267" t="s">
        <v>1208</v>
      </c>
      <c r="L280" s="267"/>
      <c r="M280" s="267" t="s">
        <v>1209</v>
      </c>
      <c r="N280" s="267"/>
      <c r="O280" s="263" t="s">
        <v>654</v>
      </c>
      <c r="P280" s="267"/>
      <c r="Q280" s="268" t="s">
        <v>658</v>
      </c>
      <c r="R280" s="268"/>
      <c r="S280" s="267" t="s">
        <v>681</v>
      </c>
      <c r="T280" s="261"/>
      <c r="U280" s="265" t="s">
        <v>1210</v>
      </c>
      <c r="V280" s="519"/>
      <c r="W280" s="788"/>
      <c r="X280" s="266"/>
      <c r="Y280" s="265"/>
      <c r="Z280" s="265"/>
      <c r="AA280" s="265"/>
      <c r="AB280" s="265"/>
      <c r="AC280" s="500"/>
      <c r="AD280" s="695"/>
      <c r="AE280" s="266" t="s">
        <v>1212</v>
      </c>
      <c r="AF280" s="265"/>
      <c r="AG280" s="265" t="s">
        <v>1213</v>
      </c>
      <c r="AH280" s="265" t="s">
        <v>1214</v>
      </c>
      <c r="AI280" s="695"/>
      <c r="AJ280" s="161"/>
      <c r="AK280" s="161"/>
      <c r="AL280" s="161"/>
      <c r="AM280" s="161"/>
      <c r="AN280" s="161"/>
      <c r="AO280" s="161"/>
      <c r="AP280" s="161"/>
      <c r="AQ280" s="161"/>
      <c r="AR280" s="161"/>
      <c r="AS280" s="678"/>
      <c r="AT280" s="185"/>
      <c r="AU280" s="162"/>
      <c r="AV280" s="163"/>
      <c r="AW280" s="164"/>
      <c r="AX280" s="163"/>
      <c r="AY280" s="162"/>
      <c r="AZ280" s="164"/>
      <c r="BA280" s="163"/>
      <c r="BB280" s="695"/>
      <c r="BC280" s="165"/>
      <c r="BD280" s="522"/>
      <c r="BE280" s="522"/>
      <c r="BF280" s="522"/>
      <c r="BG280" s="522"/>
      <c r="BH280" s="522"/>
      <c r="BI280" s="522"/>
      <c r="BJ280" s="806"/>
      <c r="BK280" s="524"/>
      <c r="BL280" s="522"/>
      <c r="BN280" s="343"/>
      <c r="BO280" s="343"/>
      <c r="BP280" s="343"/>
    </row>
    <row r="281" spans="1:68">
      <c r="A281" s="149">
        <v>180</v>
      </c>
      <c r="B281" s="150" t="s">
        <v>412</v>
      </c>
      <c r="C281" s="151" t="s">
        <v>1215</v>
      </c>
      <c r="D281" s="150"/>
      <c r="E281" s="767"/>
      <c r="F281" s="152" t="s">
        <v>1996</v>
      </c>
      <c r="G281" s="152" t="s">
        <v>1996</v>
      </c>
      <c r="H281" s="152" t="s">
        <v>845</v>
      </c>
      <c r="I281" s="150">
        <v>4.05</v>
      </c>
      <c r="J281" s="152">
        <v>241.357</v>
      </c>
      <c r="K281" s="156">
        <v>48</v>
      </c>
      <c r="L281" s="154">
        <v>20</v>
      </c>
      <c r="M281" s="174">
        <v>1.2999999999999999E-4</v>
      </c>
      <c r="N281" s="167">
        <v>20</v>
      </c>
      <c r="O281" s="174">
        <v>5.0000000000000001E-4</v>
      </c>
      <c r="P281" s="167">
        <v>10</v>
      </c>
      <c r="Q281" s="174"/>
      <c r="R281" s="174"/>
      <c r="S281" s="166">
        <v>3.18</v>
      </c>
      <c r="T281" s="153">
        <f>10^S281</f>
        <v>1513.5612484362093</v>
      </c>
      <c r="U281" s="166">
        <v>2.61</v>
      </c>
      <c r="V281" s="520">
        <f>10^U281</f>
        <v>407.38027780411272</v>
      </c>
      <c r="W281" s="787"/>
      <c r="X281" s="176"/>
      <c r="Y281" s="148"/>
      <c r="Z281" s="148"/>
      <c r="AA281" s="148"/>
      <c r="AB281" s="148"/>
      <c r="AC281" s="172"/>
      <c r="AD281" s="787"/>
      <c r="AE281" s="176">
        <v>4.0000000000000001E-3</v>
      </c>
      <c r="AF281" s="148"/>
      <c r="AG281" s="150"/>
      <c r="AH281" s="150"/>
      <c r="AI281" s="684"/>
      <c r="AJ281" s="153"/>
      <c r="AK281" s="153"/>
      <c r="AL281" s="153"/>
      <c r="AM281" s="153"/>
      <c r="AN281" s="153"/>
      <c r="AO281" s="153"/>
      <c r="AP281" s="153"/>
      <c r="AQ281" s="153"/>
      <c r="AR281" s="153"/>
      <c r="AS281" s="810"/>
      <c r="AT281" s="173"/>
      <c r="AU281" s="153"/>
      <c r="AV281" s="156"/>
      <c r="AW281" s="153"/>
      <c r="AX281" s="156"/>
      <c r="AY281" s="153"/>
      <c r="AZ281" s="153"/>
      <c r="BA281" s="156"/>
      <c r="BB281" s="684"/>
      <c r="BC281" s="157"/>
      <c r="BD281" s="521"/>
      <c r="BE281" s="521"/>
      <c r="BF281" s="521"/>
      <c r="BG281" s="521"/>
      <c r="BH281" s="521"/>
      <c r="BI281" s="521"/>
      <c r="BJ281" s="795"/>
      <c r="BK281" s="523"/>
      <c r="BL281" s="521"/>
      <c r="BN281" s="343"/>
      <c r="BO281" s="343"/>
      <c r="BP281" s="343"/>
    </row>
    <row r="282" spans="1:68" ht="102">
      <c r="A282" s="149"/>
      <c r="B282" s="158"/>
      <c r="C282" s="151"/>
      <c r="D282" s="150"/>
      <c r="E282" s="767"/>
      <c r="F282" s="159"/>
      <c r="G282" s="159"/>
      <c r="H282" s="159"/>
      <c r="I282" s="170" t="s">
        <v>1220</v>
      </c>
      <c r="J282" s="159" t="s">
        <v>941</v>
      </c>
      <c r="K282" s="158" t="s">
        <v>1216</v>
      </c>
      <c r="L282" s="160"/>
      <c r="M282" s="158" t="s">
        <v>1217</v>
      </c>
      <c r="N282" s="160"/>
      <c r="O282" s="155" t="s">
        <v>654</v>
      </c>
      <c r="P282" s="160"/>
      <c r="Q282" s="160" t="s">
        <v>1096</v>
      </c>
      <c r="R282" s="160"/>
      <c r="S282" s="158" t="s">
        <v>1218</v>
      </c>
      <c r="T282" s="153"/>
      <c r="U282" s="158" t="s">
        <v>1219</v>
      </c>
      <c r="V282" s="520"/>
      <c r="W282" s="787"/>
      <c r="X282" s="185"/>
      <c r="Y282" s="161"/>
      <c r="Z282" s="161"/>
      <c r="AA282" s="161"/>
      <c r="AB282" s="161"/>
      <c r="AC282" s="497"/>
      <c r="AD282" s="678"/>
      <c r="AE282" s="185" t="s">
        <v>1177</v>
      </c>
      <c r="AF282" s="163"/>
      <c r="AG282" s="158"/>
      <c r="AH282" s="150"/>
      <c r="AI282" s="684"/>
      <c r="AJ282" s="161"/>
      <c r="AK282" s="161"/>
      <c r="AL282" s="161"/>
      <c r="AM282" s="161"/>
      <c r="AN282" s="161"/>
      <c r="AO282" s="161"/>
      <c r="AP282" s="161"/>
      <c r="AQ282" s="161"/>
      <c r="AR282" s="161"/>
      <c r="AS282" s="678"/>
      <c r="AT282" s="185"/>
      <c r="AU282" s="162"/>
      <c r="AV282" s="163"/>
      <c r="AW282" s="164"/>
      <c r="AX282" s="163"/>
      <c r="AY282" s="162"/>
      <c r="AZ282" s="164"/>
      <c r="BA282" s="163"/>
      <c r="BB282" s="695"/>
      <c r="BC282" s="165"/>
      <c r="BD282" s="522"/>
      <c r="BE282" s="522"/>
      <c r="BF282" s="522"/>
      <c r="BG282" s="522"/>
      <c r="BH282" s="522"/>
      <c r="BI282" s="522"/>
      <c r="BJ282" s="806"/>
      <c r="BK282" s="524"/>
      <c r="BL282" s="522"/>
      <c r="BN282" s="343"/>
      <c r="BO282" s="343"/>
      <c r="BP282" s="343"/>
    </row>
    <row r="283" spans="1:68">
      <c r="A283" s="149">
        <v>181</v>
      </c>
      <c r="B283" s="148" t="s">
        <v>413</v>
      </c>
      <c r="C283" s="172" t="s">
        <v>1221</v>
      </c>
      <c r="D283" s="148"/>
      <c r="E283" s="766"/>
      <c r="F283" s="176" t="s">
        <v>1996</v>
      </c>
      <c r="G283" s="150" t="s">
        <v>541</v>
      </c>
      <c r="H283" s="150" t="s">
        <v>541</v>
      </c>
      <c r="I283" s="150" t="s">
        <v>541</v>
      </c>
      <c r="J283" s="176">
        <v>211.68799999999999</v>
      </c>
      <c r="K283" s="148">
        <v>700</v>
      </c>
      <c r="L283" s="167">
        <v>20</v>
      </c>
      <c r="M283" s="174">
        <v>0.03</v>
      </c>
      <c r="N283" s="167">
        <v>20</v>
      </c>
      <c r="O283" s="174">
        <v>1.0999999999999999E-2</v>
      </c>
      <c r="P283" s="167">
        <v>10</v>
      </c>
      <c r="Q283" s="174"/>
      <c r="R283" s="174"/>
      <c r="S283" s="166">
        <v>2.2799999999999998</v>
      </c>
      <c r="T283" s="153">
        <f>10^S283</f>
        <v>190.54607179632481</v>
      </c>
      <c r="U283" s="166">
        <v>2.34</v>
      </c>
      <c r="V283" s="520">
        <f>10^U283</f>
        <v>218.77616239495524</v>
      </c>
      <c r="W283" s="787"/>
      <c r="X283" s="515"/>
      <c r="Y283" s="174"/>
      <c r="Z283" s="174"/>
      <c r="AA283" s="174"/>
      <c r="AB283" s="174"/>
      <c r="AC283" s="508"/>
      <c r="AD283" s="786"/>
      <c r="AE283" s="515">
        <v>1.2999999999999999E-2</v>
      </c>
      <c r="AF283" s="148"/>
      <c r="AG283" s="150"/>
      <c r="AH283" s="150"/>
      <c r="AI283" s="684"/>
      <c r="AJ283" s="153"/>
      <c r="AK283" s="153"/>
      <c r="AL283" s="153"/>
      <c r="AM283" s="153"/>
      <c r="AN283" s="153"/>
      <c r="AO283" s="153"/>
      <c r="AP283" s="153"/>
      <c r="AQ283" s="153"/>
      <c r="AR283" s="153"/>
      <c r="AS283" s="810"/>
      <c r="AT283" s="173"/>
      <c r="AU283" s="153"/>
      <c r="AV283" s="156"/>
      <c r="AW283" s="153"/>
      <c r="AX283" s="156"/>
      <c r="AY283" s="153"/>
      <c r="AZ283" s="153"/>
      <c r="BA283" s="156"/>
      <c r="BB283" s="684"/>
      <c r="BC283" s="157"/>
      <c r="BD283" s="521"/>
      <c r="BE283" s="521"/>
      <c r="BF283" s="521"/>
      <c r="BG283" s="521"/>
      <c r="BH283" s="521"/>
      <c r="BI283" s="521"/>
      <c r="BJ283" s="795"/>
      <c r="BK283" s="523"/>
      <c r="BL283" s="521"/>
      <c r="BN283" s="343"/>
      <c r="BO283" s="343"/>
      <c r="BP283" s="343"/>
    </row>
    <row r="284" spans="1:68" ht="102">
      <c r="A284" s="149"/>
      <c r="B284" s="158"/>
      <c r="C284" s="172"/>
      <c r="D284" s="148"/>
      <c r="E284" s="766"/>
      <c r="F284" s="159"/>
      <c r="G284" s="159"/>
      <c r="H284" s="159"/>
      <c r="I284" s="170" t="s">
        <v>1139</v>
      </c>
      <c r="J284" s="159" t="s">
        <v>941</v>
      </c>
      <c r="K284" s="177" t="s">
        <v>731</v>
      </c>
      <c r="L284" s="179"/>
      <c r="M284" s="158" t="s">
        <v>1222</v>
      </c>
      <c r="N284" s="160"/>
      <c r="O284" s="155" t="s">
        <v>654</v>
      </c>
      <c r="P284" s="160"/>
      <c r="Q284" s="160" t="s">
        <v>1096</v>
      </c>
      <c r="R284" s="160"/>
      <c r="S284" s="158" t="s">
        <v>1206</v>
      </c>
      <c r="T284" s="153"/>
      <c r="U284" s="158" t="s">
        <v>1223</v>
      </c>
      <c r="V284" s="520"/>
      <c r="W284" s="678"/>
      <c r="X284" s="185"/>
      <c r="Y284" s="161"/>
      <c r="Z284" s="161"/>
      <c r="AA284" s="161"/>
      <c r="AB284" s="161"/>
      <c r="AC284" s="497"/>
      <c r="AD284" s="678"/>
      <c r="AE284" s="185" t="s">
        <v>1177</v>
      </c>
      <c r="AF284" s="161"/>
      <c r="AG284" s="177"/>
      <c r="AH284" s="177"/>
      <c r="AI284" s="714"/>
      <c r="AJ284" s="161"/>
      <c r="AK284" s="161"/>
      <c r="AL284" s="161"/>
      <c r="AM284" s="161"/>
      <c r="AN284" s="161"/>
      <c r="AO284" s="161"/>
      <c r="AP284" s="161"/>
      <c r="AQ284" s="161"/>
      <c r="AR284" s="161"/>
      <c r="AS284" s="678"/>
      <c r="AT284" s="185"/>
      <c r="AU284" s="162"/>
      <c r="AV284" s="163"/>
      <c r="AW284" s="164"/>
      <c r="AX284" s="163"/>
      <c r="AY284" s="162"/>
      <c r="AZ284" s="164"/>
      <c r="BA284" s="163"/>
      <c r="BB284" s="695"/>
      <c r="BC284" s="165"/>
      <c r="BD284" s="522"/>
      <c r="BE284" s="522"/>
      <c r="BF284" s="522"/>
      <c r="BG284" s="522"/>
      <c r="BH284" s="522"/>
      <c r="BI284" s="522"/>
      <c r="BJ284" s="806"/>
      <c r="BK284" s="524"/>
      <c r="BL284" s="522"/>
      <c r="BN284" s="343"/>
      <c r="BO284" s="343"/>
      <c r="BP284" s="343"/>
    </row>
    <row r="285" spans="1:68">
      <c r="A285" s="149">
        <v>182</v>
      </c>
      <c r="B285" s="150" t="s">
        <v>414</v>
      </c>
      <c r="C285" s="151" t="s">
        <v>1224</v>
      </c>
      <c r="D285" s="150"/>
      <c r="E285" s="767"/>
      <c r="F285" s="152" t="s">
        <v>1996</v>
      </c>
      <c r="G285" s="150" t="s">
        <v>541</v>
      </c>
      <c r="H285" s="150" t="s">
        <v>541</v>
      </c>
      <c r="I285" s="150" t="s">
        <v>541</v>
      </c>
      <c r="J285" s="152">
        <v>218.07900000000001</v>
      </c>
      <c r="K285" s="148">
        <v>130</v>
      </c>
      <c r="L285" s="167">
        <v>20</v>
      </c>
      <c r="M285" s="189">
        <v>5.0000000000000001E-3</v>
      </c>
      <c r="N285" s="154">
        <v>20</v>
      </c>
      <c r="O285" s="156">
        <v>3.5999999999999999E-3</v>
      </c>
      <c r="P285" s="154">
        <v>10</v>
      </c>
      <c r="Q285" s="156"/>
      <c r="R285" s="156"/>
      <c r="S285" s="153">
        <v>2.71</v>
      </c>
      <c r="T285" s="153">
        <f>10^S285</f>
        <v>512.86138399136519</v>
      </c>
      <c r="U285" s="153">
        <v>2.25</v>
      </c>
      <c r="V285" s="520">
        <f>10^U285</f>
        <v>177.82794100389242</v>
      </c>
      <c r="W285" s="787"/>
      <c r="X285" s="176"/>
      <c r="Y285" s="148"/>
      <c r="Z285" s="148"/>
      <c r="AA285" s="148"/>
      <c r="AB285" s="148"/>
      <c r="AC285" s="172"/>
      <c r="AD285" s="787"/>
      <c r="AE285" s="176">
        <v>5.0000000000000001E-3</v>
      </c>
      <c r="AF285" s="148"/>
      <c r="AG285" s="150"/>
      <c r="AH285" s="150"/>
      <c r="AI285" s="684"/>
      <c r="AJ285" s="153"/>
      <c r="AK285" s="153"/>
      <c r="AL285" s="153"/>
      <c r="AM285" s="153"/>
      <c r="AN285" s="153"/>
      <c r="AO285" s="153"/>
      <c r="AP285" s="153"/>
      <c r="AQ285" s="153"/>
      <c r="AR285" s="153"/>
      <c r="AS285" s="810"/>
      <c r="AT285" s="173"/>
      <c r="AU285" s="153"/>
      <c r="AV285" s="156"/>
      <c r="AW285" s="153"/>
      <c r="AX285" s="156"/>
      <c r="AY285" s="153"/>
      <c r="AZ285" s="153"/>
      <c r="BA285" s="156"/>
      <c r="BB285" s="684"/>
      <c r="BC285" s="157"/>
      <c r="BD285" s="521"/>
      <c r="BE285" s="521"/>
      <c r="BF285" s="521"/>
      <c r="BG285" s="521"/>
      <c r="BH285" s="521"/>
      <c r="BI285" s="521"/>
      <c r="BJ285" s="795"/>
      <c r="BK285" s="523"/>
      <c r="BL285" s="521"/>
      <c r="BN285" s="343"/>
      <c r="BO285" s="343"/>
      <c r="BP285" s="343"/>
    </row>
    <row r="286" spans="1:68" ht="114.75">
      <c r="A286" s="149"/>
      <c r="B286" s="158"/>
      <c r="C286" s="151"/>
      <c r="D286" s="150"/>
      <c r="E286" s="767"/>
      <c r="F286" s="159"/>
      <c r="G286" s="159"/>
      <c r="H286" s="159"/>
      <c r="I286" s="170" t="s">
        <v>1228</v>
      </c>
      <c r="J286" s="159" t="s">
        <v>941</v>
      </c>
      <c r="K286" s="160" t="s">
        <v>1225</v>
      </c>
      <c r="L286" s="160"/>
      <c r="M286" s="158" t="s">
        <v>1226</v>
      </c>
      <c r="N286" s="160"/>
      <c r="O286" s="155" t="s">
        <v>654</v>
      </c>
      <c r="P286" s="160"/>
      <c r="Q286" s="160" t="s">
        <v>1096</v>
      </c>
      <c r="R286" s="160"/>
      <c r="S286" s="158" t="s">
        <v>1218</v>
      </c>
      <c r="T286" s="153"/>
      <c r="U286" s="158" t="s">
        <v>1227</v>
      </c>
      <c r="V286" s="520"/>
      <c r="W286" s="787"/>
      <c r="X286" s="175"/>
      <c r="Y286" s="163"/>
      <c r="Z286" s="163"/>
      <c r="AA286" s="163"/>
      <c r="AB286" s="163"/>
      <c r="AC286" s="507"/>
      <c r="AD286" s="788"/>
      <c r="AE286" s="175" t="s">
        <v>1229</v>
      </c>
      <c r="AF286" s="163"/>
      <c r="AG286" s="158"/>
      <c r="AH286" s="158"/>
      <c r="AI286" s="695"/>
      <c r="AJ286" s="161"/>
      <c r="AK286" s="161"/>
      <c r="AL286" s="161"/>
      <c r="AM286" s="161"/>
      <c r="AN286" s="161"/>
      <c r="AO286" s="161"/>
      <c r="AP286" s="161"/>
      <c r="AQ286" s="161"/>
      <c r="AR286" s="161"/>
      <c r="AS286" s="678"/>
      <c r="AT286" s="185"/>
      <c r="AU286" s="162"/>
      <c r="AV286" s="163"/>
      <c r="AW286" s="164"/>
      <c r="AX286" s="163"/>
      <c r="AY286" s="162"/>
      <c r="AZ286" s="164"/>
      <c r="BA286" s="163"/>
      <c r="BB286" s="695"/>
      <c r="BC286" s="165"/>
      <c r="BD286" s="522"/>
      <c r="BE286" s="522"/>
      <c r="BF286" s="522"/>
      <c r="BG286" s="522"/>
      <c r="BH286" s="522"/>
      <c r="BI286" s="522"/>
      <c r="BJ286" s="806"/>
      <c r="BK286" s="524"/>
      <c r="BL286" s="522"/>
      <c r="BN286" s="343"/>
      <c r="BO286" s="343"/>
      <c r="BP286" s="343"/>
    </row>
    <row r="287" spans="1:68">
      <c r="A287" s="149">
        <v>183</v>
      </c>
      <c r="B287" s="180" t="s">
        <v>166</v>
      </c>
      <c r="C287" s="151" t="s">
        <v>1230</v>
      </c>
      <c r="D287" s="150"/>
      <c r="E287" s="767"/>
      <c r="F287" s="152" t="s">
        <v>1996</v>
      </c>
      <c r="G287" s="152" t="s">
        <v>1996</v>
      </c>
      <c r="H287" s="152" t="s">
        <v>845</v>
      </c>
      <c r="I287" s="148">
        <v>1.85</v>
      </c>
      <c r="J287" s="152">
        <v>229.71</v>
      </c>
      <c r="K287" s="156">
        <v>8.6</v>
      </c>
      <c r="L287" s="154">
        <v>20</v>
      </c>
      <c r="M287" s="174">
        <v>3.9999999999999998E-6</v>
      </c>
      <c r="N287" s="167">
        <v>20</v>
      </c>
      <c r="O287" s="174">
        <v>1E-4</v>
      </c>
      <c r="P287" s="167">
        <v>10</v>
      </c>
      <c r="Q287" s="174"/>
      <c r="R287" s="174"/>
      <c r="S287" s="148">
        <v>2.88</v>
      </c>
      <c r="T287" s="153">
        <f>10^S287</f>
        <v>758.57757502918378</v>
      </c>
      <c r="U287" s="148">
        <v>2.2799999999999998</v>
      </c>
      <c r="V287" s="520">
        <f>10^U287</f>
        <v>190.54607179632481</v>
      </c>
      <c r="W287" s="787"/>
      <c r="X287" s="176"/>
      <c r="Y287" s="148"/>
      <c r="Z287" s="148"/>
      <c r="AA287" s="148"/>
      <c r="AB287" s="148"/>
      <c r="AC287" s="172"/>
      <c r="AD287" s="787"/>
      <c r="AE287" s="176">
        <v>0.02</v>
      </c>
      <c r="AF287" s="148"/>
      <c r="AG287" s="150"/>
      <c r="AH287" s="150"/>
      <c r="AI287" s="684"/>
      <c r="AJ287" s="153"/>
      <c r="AK287" s="153"/>
      <c r="AL287" s="153"/>
      <c r="AM287" s="153"/>
      <c r="AN287" s="153"/>
      <c r="AO287" s="153"/>
      <c r="AP287" s="153"/>
      <c r="AQ287" s="153"/>
      <c r="AR287" s="153"/>
      <c r="AS287" s="810"/>
      <c r="AT287" s="173"/>
      <c r="AU287" s="153"/>
      <c r="AV287" s="156"/>
      <c r="AW287" s="153"/>
      <c r="AX287" s="156"/>
      <c r="AY287" s="153"/>
      <c r="AZ287" s="153"/>
      <c r="BA287" s="156"/>
      <c r="BB287" s="684"/>
      <c r="BC287" s="157"/>
      <c r="BD287" s="521"/>
      <c r="BE287" s="521"/>
      <c r="BF287" s="521"/>
      <c r="BG287" s="521"/>
      <c r="BH287" s="521"/>
      <c r="BI287" s="521"/>
      <c r="BJ287" s="795"/>
      <c r="BK287" s="523"/>
      <c r="BL287" s="521"/>
      <c r="BN287" s="343"/>
      <c r="BO287" s="343"/>
      <c r="BP287" s="343"/>
    </row>
    <row r="288" spans="1:68" ht="102">
      <c r="A288" s="149"/>
      <c r="B288" s="158"/>
      <c r="C288" s="151"/>
      <c r="D288" s="150"/>
      <c r="E288" s="767"/>
      <c r="F288" s="159"/>
      <c r="G288" s="159"/>
      <c r="H288" s="159"/>
      <c r="I288" s="158" t="s">
        <v>1234</v>
      </c>
      <c r="J288" s="159" t="s">
        <v>941</v>
      </c>
      <c r="K288" s="177" t="s">
        <v>1231</v>
      </c>
      <c r="L288" s="179"/>
      <c r="M288" s="158" t="s">
        <v>1226</v>
      </c>
      <c r="N288" s="160"/>
      <c r="O288" s="155" t="s">
        <v>654</v>
      </c>
      <c r="P288" s="160"/>
      <c r="Q288" s="160" t="s">
        <v>1096</v>
      </c>
      <c r="R288" s="160"/>
      <c r="S288" s="158" t="s">
        <v>1232</v>
      </c>
      <c r="T288" s="153"/>
      <c r="U288" s="158" t="s">
        <v>1233</v>
      </c>
      <c r="V288" s="520"/>
      <c r="W288" s="787"/>
      <c r="X288" s="175"/>
      <c r="Y288" s="163"/>
      <c r="Z288" s="163"/>
      <c r="AA288" s="163"/>
      <c r="AB288" s="163"/>
      <c r="AC288" s="507"/>
      <c r="AD288" s="788"/>
      <c r="AE288" s="175" t="s">
        <v>1177</v>
      </c>
      <c r="AF288" s="163"/>
      <c r="AG288" s="150"/>
      <c r="AH288" s="158"/>
      <c r="AI288" s="695"/>
      <c r="AJ288" s="161"/>
      <c r="AK288" s="161"/>
      <c r="AL288" s="161"/>
      <c r="AM288" s="161"/>
      <c r="AN288" s="161"/>
      <c r="AO288" s="161"/>
      <c r="AP288" s="161"/>
      <c r="AQ288" s="161"/>
      <c r="AR288" s="161"/>
      <c r="AS288" s="678"/>
      <c r="AT288" s="185"/>
      <c r="AU288" s="162"/>
      <c r="AV288" s="163"/>
      <c r="AW288" s="164"/>
      <c r="AX288" s="163"/>
      <c r="AY288" s="162"/>
      <c r="AZ288" s="164"/>
      <c r="BA288" s="163"/>
      <c r="BB288" s="695"/>
      <c r="BC288" s="165"/>
      <c r="BD288" s="522"/>
      <c r="BE288" s="522"/>
      <c r="BF288" s="522"/>
      <c r="BG288" s="522"/>
      <c r="BH288" s="522"/>
      <c r="BI288" s="522"/>
      <c r="BJ288" s="806"/>
      <c r="BK288" s="524"/>
      <c r="BL288" s="522"/>
      <c r="BN288" s="343"/>
      <c r="BO288" s="343"/>
      <c r="BP288" s="343"/>
    </row>
    <row r="289" spans="1:68">
      <c r="A289" s="149">
        <v>184</v>
      </c>
      <c r="B289" s="180" t="s">
        <v>167</v>
      </c>
      <c r="C289" s="151" t="s">
        <v>1230</v>
      </c>
      <c r="D289" s="150"/>
      <c r="E289" s="767"/>
      <c r="F289" s="152" t="s">
        <v>1996</v>
      </c>
      <c r="G289" s="152" t="s">
        <v>541</v>
      </c>
      <c r="H289" s="152" t="s">
        <v>541</v>
      </c>
      <c r="I289" s="148" t="s">
        <v>541</v>
      </c>
      <c r="J289" s="152"/>
      <c r="K289" s="156"/>
      <c r="L289" s="154"/>
      <c r="M289" s="174">
        <v>6383.4750000000004</v>
      </c>
      <c r="N289" s="167" t="s">
        <v>541</v>
      </c>
      <c r="O289" s="174" t="s">
        <v>541</v>
      </c>
      <c r="P289" s="167" t="s">
        <v>541</v>
      </c>
      <c r="Q289" s="174"/>
      <c r="R289" s="174"/>
      <c r="S289" s="148"/>
      <c r="T289" s="153"/>
      <c r="U289" s="148"/>
      <c r="V289" s="520"/>
      <c r="W289" s="787"/>
      <c r="X289" s="176"/>
      <c r="Y289" s="148"/>
      <c r="Z289" s="148"/>
      <c r="AA289" s="148"/>
      <c r="AB289" s="148"/>
      <c r="AC289" s="172"/>
      <c r="AD289" s="787"/>
      <c r="AE289" s="176"/>
      <c r="AF289" s="148"/>
      <c r="AG289" s="150"/>
      <c r="AH289" s="150"/>
      <c r="AI289" s="684"/>
      <c r="AJ289" s="153"/>
      <c r="AK289" s="153"/>
      <c r="AL289" s="153"/>
      <c r="AM289" s="153"/>
      <c r="AN289" s="153"/>
      <c r="AO289" s="153"/>
      <c r="AP289" s="153"/>
      <c r="AQ289" s="153"/>
      <c r="AR289" s="153"/>
      <c r="AS289" s="810"/>
      <c r="AT289" s="173"/>
      <c r="AU289" s="153"/>
      <c r="AV289" s="156"/>
      <c r="AW289" s="153"/>
      <c r="AX289" s="156"/>
      <c r="AY289" s="153"/>
      <c r="AZ289" s="153"/>
      <c r="BA289" s="156"/>
      <c r="BB289" s="684"/>
      <c r="BC289" s="157"/>
      <c r="BD289" s="521"/>
      <c r="BE289" s="521"/>
      <c r="BF289" s="521"/>
      <c r="BG289" s="521"/>
      <c r="BH289" s="521"/>
      <c r="BI289" s="521"/>
      <c r="BJ289" s="795"/>
      <c r="BK289" s="523"/>
      <c r="BL289" s="521"/>
      <c r="BN289" s="343"/>
      <c r="BO289" s="343"/>
      <c r="BP289" s="343"/>
    </row>
    <row r="290" spans="1:68" ht="38.25">
      <c r="A290" s="149"/>
      <c r="B290" s="158"/>
      <c r="C290" s="151"/>
      <c r="D290" s="150"/>
      <c r="E290" s="767"/>
      <c r="F290" s="185"/>
      <c r="G290" s="185"/>
      <c r="H290" s="185"/>
      <c r="I290" s="162" t="s">
        <v>541</v>
      </c>
      <c r="J290" s="185"/>
      <c r="K290" s="161"/>
      <c r="L290" s="181"/>
      <c r="M290" s="160" t="s">
        <v>1235</v>
      </c>
      <c r="N290" s="160"/>
      <c r="O290" s="168"/>
      <c r="P290" s="160"/>
      <c r="Q290" s="160" t="s">
        <v>1096</v>
      </c>
      <c r="R290" s="160"/>
      <c r="S290" s="163"/>
      <c r="T290" s="153"/>
      <c r="U290" s="161"/>
      <c r="V290" s="520"/>
      <c r="W290" s="787"/>
      <c r="X290" s="175"/>
      <c r="Y290" s="163"/>
      <c r="Z290" s="163"/>
      <c r="AA290" s="163"/>
      <c r="AB290" s="163"/>
      <c r="AC290" s="507"/>
      <c r="AD290" s="788"/>
      <c r="AE290" s="175"/>
      <c r="AF290" s="163"/>
      <c r="AG290" s="150"/>
      <c r="AH290" s="158"/>
      <c r="AI290" s="695"/>
      <c r="AJ290" s="161"/>
      <c r="AK290" s="161"/>
      <c r="AL290" s="161"/>
      <c r="AM290" s="161"/>
      <c r="AN290" s="161"/>
      <c r="AO290" s="161"/>
      <c r="AP290" s="161"/>
      <c r="AQ290" s="161"/>
      <c r="AR290" s="161"/>
      <c r="AS290" s="678"/>
      <c r="AT290" s="185"/>
      <c r="AU290" s="162"/>
      <c r="AV290" s="163"/>
      <c r="AW290" s="164"/>
      <c r="AX290" s="163"/>
      <c r="AY290" s="162"/>
      <c r="AZ290" s="164"/>
      <c r="BA290" s="163"/>
      <c r="BB290" s="695"/>
      <c r="BC290" s="165"/>
      <c r="BD290" s="522"/>
      <c r="BE290" s="522"/>
      <c r="BF290" s="522"/>
      <c r="BG290" s="522"/>
      <c r="BH290" s="522"/>
      <c r="BI290" s="522"/>
      <c r="BJ290" s="806"/>
      <c r="BK290" s="524"/>
      <c r="BL290" s="522"/>
      <c r="BN290" s="343"/>
      <c r="BO290" s="343"/>
      <c r="BP290" s="343"/>
    </row>
    <row r="291" spans="1:68">
      <c r="A291" s="149">
        <v>185</v>
      </c>
      <c r="B291" s="180" t="s">
        <v>168</v>
      </c>
      <c r="C291" s="151" t="s">
        <v>1236</v>
      </c>
      <c r="D291" s="150"/>
      <c r="E291" s="767"/>
      <c r="F291" s="152" t="s">
        <v>1996</v>
      </c>
      <c r="G291" s="152" t="s">
        <v>1996</v>
      </c>
      <c r="H291" s="152" t="s">
        <v>845</v>
      </c>
      <c r="I291" s="148">
        <v>1.7</v>
      </c>
      <c r="J291" s="190">
        <v>201.65700000000001</v>
      </c>
      <c r="K291" s="156">
        <v>5</v>
      </c>
      <c r="L291" s="154">
        <v>20</v>
      </c>
      <c r="M291" s="174">
        <v>8.4999999999999999E-6</v>
      </c>
      <c r="N291" s="167">
        <v>20</v>
      </c>
      <c r="O291" s="174">
        <v>3.4000000000000002E-4</v>
      </c>
      <c r="P291" s="167">
        <v>10</v>
      </c>
      <c r="Q291" s="174"/>
      <c r="R291" s="174"/>
      <c r="S291" s="166">
        <v>2</v>
      </c>
      <c r="T291" s="153">
        <f>10^S291</f>
        <v>100</v>
      </c>
      <c r="U291" s="148">
        <v>2.17</v>
      </c>
      <c r="V291" s="520">
        <f>10^U291</f>
        <v>147.91083881682084</v>
      </c>
      <c r="W291" s="787"/>
      <c r="X291" s="515"/>
      <c r="Y291" s="174"/>
      <c r="Z291" s="174"/>
      <c r="AA291" s="174"/>
      <c r="AB291" s="174"/>
      <c r="AC291" s="508"/>
      <c r="AD291" s="786"/>
      <c r="AE291" s="515">
        <v>5.1999999999999995E-4</v>
      </c>
      <c r="AF291" s="148"/>
      <c r="AG291" s="150"/>
      <c r="AH291" s="150"/>
      <c r="AI291" s="684"/>
      <c r="AJ291" s="153"/>
      <c r="AK291" s="153"/>
      <c r="AL291" s="153"/>
      <c r="AM291" s="153"/>
      <c r="AN291" s="153"/>
      <c r="AO291" s="153"/>
      <c r="AP291" s="153"/>
      <c r="AQ291" s="153"/>
      <c r="AR291" s="153"/>
      <c r="AS291" s="810"/>
      <c r="AT291" s="173"/>
      <c r="AU291" s="153"/>
      <c r="AV291" s="156"/>
      <c r="AW291" s="153"/>
      <c r="AX291" s="156"/>
      <c r="AY291" s="153"/>
      <c r="AZ291" s="153"/>
      <c r="BA291" s="156"/>
      <c r="BB291" s="684"/>
      <c r="BC291" s="157"/>
      <c r="BD291" s="521"/>
      <c r="BE291" s="521"/>
      <c r="BF291" s="521"/>
      <c r="BG291" s="521"/>
      <c r="BH291" s="521"/>
      <c r="BI291" s="521"/>
      <c r="BJ291" s="795"/>
      <c r="BK291" s="523"/>
      <c r="BL291" s="521"/>
      <c r="BN291" s="343"/>
      <c r="BO291" s="343"/>
      <c r="BP291" s="343"/>
    </row>
    <row r="292" spans="1:68" ht="102">
      <c r="A292" s="149"/>
      <c r="B292" s="158"/>
      <c r="C292" s="151"/>
      <c r="D292" s="150"/>
      <c r="E292" s="767"/>
      <c r="F292" s="159"/>
      <c r="G292" s="159"/>
      <c r="H292" s="159"/>
      <c r="I292" s="158" t="s">
        <v>1241</v>
      </c>
      <c r="J292" s="159" t="s">
        <v>941</v>
      </c>
      <c r="K292" s="158" t="s">
        <v>1237</v>
      </c>
      <c r="L292" s="160"/>
      <c r="M292" s="158" t="s">
        <v>1238</v>
      </c>
      <c r="N292" s="160"/>
      <c r="O292" s="155" t="s">
        <v>654</v>
      </c>
      <c r="P292" s="160"/>
      <c r="Q292" s="160" t="s">
        <v>1096</v>
      </c>
      <c r="R292" s="160"/>
      <c r="S292" s="158" t="s">
        <v>1239</v>
      </c>
      <c r="T292" s="153"/>
      <c r="U292" s="158" t="s">
        <v>1240</v>
      </c>
      <c r="V292" s="520"/>
      <c r="W292" s="788"/>
      <c r="X292" s="175"/>
      <c r="Y292" s="163"/>
      <c r="Z292" s="163"/>
      <c r="AA292" s="163"/>
      <c r="AB292" s="163"/>
      <c r="AC292" s="507"/>
      <c r="AD292" s="788"/>
      <c r="AE292" s="175" t="s">
        <v>1242</v>
      </c>
      <c r="AF292" s="163"/>
      <c r="AG292" s="158"/>
      <c r="AH292" s="158"/>
      <c r="AI292" s="695"/>
      <c r="AJ292" s="161"/>
      <c r="AK292" s="161"/>
      <c r="AL292" s="161"/>
      <c r="AM292" s="161"/>
      <c r="AN292" s="161"/>
      <c r="AO292" s="161"/>
      <c r="AP292" s="161"/>
      <c r="AQ292" s="161"/>
      <c r="AR292" s="161"/>
      <c r="AS292" s="678"/>
      <c r="AT292" s="185"/>
      <c r="AU292" s="162"/>
      <c r="AV292" s="163"/>
      <c r="AW292" s="164"/>
      <c r="AX292" s="163"/>
      <c r="AY292" s="162"/>
      <c r="AZ292" s="164"/>
      <c r="BA292" s="163"/>
      <c r="BB292" s="695"/>
      <c r="BC292" s="165"/>
      <c r="BD292" s="522"/>
      <c r="BE292" s="522"/>
      <c r="BF292" s="522"/>
      <c r="BG292" s="522"/>
      <c r="BH292" s="522"/>
      <c r="BI292" s="522"/>
      <c r="BJ292" s="806"/>
      <c r="BK292" s="524"/>
      <c r="BL292" s="522"/>
      <c r="BN292" s="343"/>
      <c r="BO292" s="343"/>
      <c r="BP292" s="343"/>
    </row>
    <row r="293" spans="1:68">
      <c r="A293" s="149">
        <v>186</v>
      </c>
      <c r="B293" s="150" t="s">
        <v>169</v>
      </c>
      <c r="C293" s="151" t="s">
        <v>1230</v>
      </c>
      <c r="D293" s="150"/>
      <c r="E293" s="767"/>
      <c r="F293" s="152" t="s">
        <v>1996</v>
      </c>
      <c r="G293" s="152" t="s">
        <v>1996</v>
      </c>
      <c r="H293" s="152" t="s">
        <v>845</v>
      </c>
      <c r="I293" s="150">
        <v>2</v>
      </c>
      <c r="J293" s="152">
        <v>229.71</v>
      </c>
      <c r="K293" s="153">
        <v>5</v>
      </c>
      <c r="L293" s="154">
        <v>20</v>
      </c>
      <c r="M293" s="174">
        <v>9.0000000000000006E-5</v>
      </c>
      <c r="N293" s="167">
        <v>20</v>
      </c>
      <c r="O293" s="174">
        <v>2.33E-3</v>
      </c>
      <c r="P293" s="167">
        <v>10</v>
      </c>
      <c r="Q293" s="174"/>
      <c r="R293" s="174"/>
      <c r="S293" s="166">
        <v>3.4</v>
      </c>
      <c r="T293" s="153">
        <f>10^S293</f>
        <v>2511.8864315095811</v>
      </c>
      <c r="U293" s="166">
        <v>3.01</v>
      </c>
      <c r="V293" s="520">
        <f>10^U293</f>
        <v>1023.2929922807547</v>
      </c>
      <c r="W293" s="787"/>
      <c r="X293" s="515"/>
      <c r="Y293" s="174"/>
      <c r="Z293" s="174"/>
      <c r="AA293" s="174"/>
      <c r="AB293" s="174"/>
      <c r="AC293" s="508"/>
      <c r="AD293" s="786"/>
      <c r="AE293" s="515">
        <v>2.2000000000000001E-3</v>
      </c>
      <c r="AF293" s="148"/>
      <c r="AG293" s="150"/>
      <c r="AH293" s="150"/>
      <c r="AI293" s="684"/>
      <c r="AJ293" s="153"/>
      <c r="AK293" s="153"/>
      <c r="AL293" s="153"/>
      <c r="AM293" s="153"/>
      <c r="AN293" s="153"/>
      <c r="AO293" s="153"/>
      <c r="AP293" s="153"/>
      <c r="AQ293" s="153"/>
      <c r="AR293" s="153"/>
      <c r="AS293" s="810"/>
      <c r="AT293" s="173"/>
      <c r="AU293" s="153"/>
      <c r="AV293" s="156"/>
      <c r="AW293" s="153"/>
      <c r="AX293" s="156"/>
      <c r="AY293" s="153"/>
      <c r="AZ293" s="153"/>
      <c r="BA293" s="156"/>
      <c r="BB293" s="684"/>
      <c r="BC293" s="157"/>
      <c r="BD293" s="521"/>
      <c r="BE293" s="521"/>
      <c r="BF293" s="521"/>
      <c r="BG293" s="521"/>
      <c r="BH293" s="521"/>
      <c r="BI293" s="521"/>
      <c r="BJ293" s="795"/>
      <c r="BK293" s="523"/>
      <c r="BL293" s="521"/>
      <c r="BN293" s="343"/>
      <c r="BO293" s="343"/>
      <c r="BP293" s="343"/>
    </row>
    <row r="294" spans="1:68" ht="63.75">
      <c r="A294" s="149"/>
      <c r="B294" s="158"/>
      <c r="C294" s="151"/>
      <c r="D294" s="150"/>
      <c r="E294" s="767"/>
      <c r="F294" s="159"/>
      <c r="G294" s="159"/>
      <c r="H294" s="159"/>
      <c r="I294" s="170" t="s">
        <v>1211</v>
      </c>
      <c r="J294" s="159" t="s">
        <v>941</v>
      </c>
      <c r="K294" s="158" t="s">
        <v>1243</v>
      </c>
      <c r="L294" s="160"/>
      <c r="M294" s="158" t="s">
        <v>1243</v>
      </c>
      <c r="N294" s="160"/>
      <c r="O294" s="160" t="s">
        <v>1211</v>
      </c>
      <c r="P294" s="160"/>
      <c r="Q294" s="160" t="s">
        <v>1096</v>
      </c>
      <c r="R294" s="160"/>
      <c r="S294" s="160" t="s">
        <v>1211</v>
      </c>
      <c r="T294" s="153"/>
      <c r="U294" s="160" t="s">
        <v>1127</v>
      </c>
      <c r="V294" s="520"/>
      <c r="W294" s="788"/>
      <c r="X294" s="175"/>
      <c r="Y294" s="163"/>
      <c r="Z294" s="163"/>
      <c r="AA294" s="163"/>
      <c r="AB294" s="163"/>
      <c r="AC294" s="507"/>
      <c r="AD294" s="788"/>
      <c r="AE294" s="175" t="s">
        <v>1244</v>
      </c>
      <c r="AF294" s="163"/>
      <c r="AG294" s="158"/>
      <c r="AH294" s="158"/>
      <c r="AI294" s="695"/>
      <c r="AJ294" s="161"/>
      <c r="AK294" s="161"/>
      <c r="AL294" s="161"/>
      <c r="AM294" s="161"/>
      <c r="AN294" s="161"/>
      <c r="AO294" s="161"/>
      <c r="AP294" s="161"/>
      <c r="AQ294" s="161"/>
      <c r="AR294" s="161"/>
      <c r="AS294" s="678"/>
      <c r="AT294" s="185"/>
      <c r="AU294" s="162"/>
      <c r="AV294" s="163"/>
      <c r="AW294" s="164"/>
      <c r="AX294" s="163"/>
      <c r="AY294" s="162"/>
      <c r="AZ294" s="164"/>
      <c r="BA294" s="163"/>
      <c r="BB294" s="695"/>
      <c r="BC294" s="165"/>
      <c r="BD294" s="522"/>
      <c r="BE294" s="522"/>
      <c r="BF294" s="522"/>
      <c r="BG294" s="522"/>
      <c r="BH294" s="522"/>
      <c r="BI294" s="522"/>
      <c r="BJ294" s="806"/>
      <c r="BK294" s="524"/>
      <c r="BL294" s="522"/>
      <c r="BN294" s="343"/>
      <c r="BO294" s="343"/>
      <c r="BP294" s="343"/>
    </row>
    <row r="295" spans="1:68">
      <c r="A295" s="149">
        <v>187</v>
      </c>
      <c r="B295" s="150" t="s">
        <v>170</v>
      </c>
      <c r="C295" s="151" t="s">
        <v>1245</v>
      </c>
      <c r="D295" s="150"/>
      <c r="E295" s="767"/>
      <c r="F295" s="152" t="s">
        <v>1996</v>
      </c>
      <c r="G295" s="152" t="s">
        <v>1996</v>
      </c>
      <c r="H295" s="152" t="s">
        <v>845</v>
      </c>
      <c r="I295" s="148">
        <v>4.3</v>
      </c>
      <c r="J295" s="152">
        <v>241.357</v>
      </c>
      <c r="K295" s="156">
        <v>58</v>
      </c>
      <c r="L295" s="154">
        <v>20</v>
      </c>
      <c r="M295" s="174">
        <v>1.2999999999999999E-4</v>
      </c>
      <c r="N295" s="167">
        <v>20</v>
      </c>
      <c r="O295" s="174">
        <v>1.2999999999999999E-3</v>
      </c>
      <c r="P295" s="167">
        <v>10</v>
      </c>
      <c r="Q295" s="174"/>
      <c r="R295" s="174"/>
      <c r="S295" s="148">
        <v>3.44</v>
      </c>
      <c r="T295" s="153">
        <f>10^S295</f>
        <v>2754.228703338169</v>
      </c>
      <c r="U295" s="148">
        <v>2.92</v>
      </c>
      <c r="V295" s="520">
        <f>10^U295</f>
        <v>831.7637711026714</v>
      </c>
      <c r="W295" s="787"/>
      <c r="X295" s="515"/>
      <c r="Y295" s="174"/>
      <c r="Z295" s="174"/>
      <c r="AA295" s="174"/>
      <c r="AB295" s="174"/>
      <c r="AC295" s="508"/>
      <c r="AD295" s="786"/>
      <c r="AE295" s="515">
        <v>1E-3</v>
      </c>
      <c r="AF295" s="148"/>
      <c r="AG295" s="150"/>
      <c r="AH295" s="150"/>
      <c r="AI295" s="684"/>
      <c r="AJ295" s="153"/>
      <c r="AK295" s="153"/>
      <c r="AL295" s="153"/>
      <c r="AM295" s="153"/>
      <c r="AN295" s="153"/>
      <c r="AO295" s="153"/>
      <c r="AP295" s="153"/>
      <c r="AQ295" s="153"/>
      <c r="AR295" s="153"/>
      <c r="AS295" s="810"/>
      <c r="AT295" s="173"/>
      <c r="AU295" s="153"/>
      <c r="AV295" s="153"/>
      <c r="AW295" s="153"/>
      <c r="AX295" s="156"/>
      <c r="AY295" s="153"/>
      <c r="AZ295" s="153"/>
      <c r="BA295" s="153"/>
      <c r="BB295" s="684"/>
      <c r="BC295" s="157"/>
      <c r="BD295" s="521"/>
      <c r="BE295" s="521"/>
      <c r="BF295" s="521"/>
      <c r="BG295" s="521"/>
      <c r="BH295" s="521"/>
      <c r="BI295" s="521"/>
      <c r="BJ295" s="795"/>
      <c r="BK295" s="523"/>
      <c r="BL295" s="521"/>
      <c r="BN295" s="343"/>
      <c r="BO295" s="343"/>
      <c r="BP295" s="343"/>
    </row>
    <row r="296" spans="1:68" ht="102">
      <c r="A296" s="149"/>
      <c r="B296" s="160"/>
      <c r="C296" s="151"/>
      <c r="D296" s="150"/>
      <c r="E296" s="767"/>
      <c r="F296" s="159"/>
      <c r="G296" s="159"/>
      <c r="H296" s="159"/>
      <c r="I296" s="158" t="s">
        <v>1250</v>
      </c>
      <c r="J296" s="159" t="s">
        <v>941</v>
      </c>
      <c r="K296" s="158" t="s">
        <v>1246</v>
      </c>
      <c r="L296" s="160"/>
      <c r="M296" s="158" t="s">
        <v>1247</v>
      </c>
      <c r="N296" s="160"/>
      <c r="O296" s="155" t="s">
        <v>654</v>
      </c>
      <c r="P296" s="160"/>
      <c r="Q296" s="160" t="s">
        <v>1096</v>
      </c>
      <c r="R296" s="160"/>
      <c r="S296" s="158" t="s">
        <v>1248</v>
      </c>
      <c r="T296" s="153"/>
      <c r="U296" s="158" t="s">
        <v>1249</v>
      </c>
      <c r="V296" s="520"/>
      <c r="W296" s="788"/>
      <c r="X296" s="175"/>
      <c r="Y296" s="163"/>
      <c r="Z296" s="163"/>
      <c r="AA296" s="163"/>
      <c r="AB296" s="163"/>
      <c r="AC296" s="507"/>
      <c r="AD296" s="788"/>
      <c r="AE296" s="175" t="s">
        <v>1229</v>
      </c>
      <c r="AF296" s="163"/>
      <c r="AG296" s="158"/>
      <c r="AH296" s="158"/>
      <c r="AI296" s="695"/>
      <c r="AJ296" s="162"/>
      <c r="AK296" s="162"/>
      <c r="AL296" s="162"/>
      <c r="AM296" s="162"/>
      <c r="AN296" s="162"/>
      <c r="AO296" s="162"/>
      <c r="AP296" s="162"/>
      <c r="AQ296" s="162"/>
      <c r="AR296" s="162"/>
      <c r="AS296" s="811"/>
      <c r="AT296" s="527" t="s">
        <v>541</v>
      </c>
      <c r="AU296" s="162" t="s">
        <v>541</v>
      </c>
      <c r="AV296" s="164" t="s">
        <v>541</v>
      </c>
      <c r="AW296" s="164" t="s">
        <v>541</v>
      </c>
      <c r="AX296" s="164" t="s">
        <v>541</v>
      </c>
      <c r="AY296" s="162" t="s">
        <v>541</v>
      </c>
      <c r="AZ296" s="164" t="s">
        <v>541</v>
      </c>
      <c r="BA296" s="162" t="s">
        <v>541</v>
      </c>
      <c r="BB296" s="695"/>
      <c r="BC296" s="165"/>
      <c r="BD296" s="522"/>
      <c r="BE296" s="522"/>
      <c r="BF296" s="522"/>
      <c r="BG296" s="522"/>
      <c r="BH296" s="522"/>
      <c r="BI296" s="522"/>
      <c r="BJ296" s="806"/>
      <c r="BK296" s="524" t="s">
        <v>541</v>
      </c>
      <c r="BL296" s="522" t="s">
        <v>541</v>
      </c>
      <c r="BN296" s="343"/>
      <c r="BO296" s="343"/>
      <c r="BP296" s="343"/>
    </row>
    <row r="297" spans="1:68">
      <c r="A297" s="149">
        <v>188</v>
      </c>
      <c r="B297" s="180" t="s">
        <v>142</v>
      </c>
      <c r="C297" s="151" t="s">
        <v>1251</v>
      </c>
      <c r="D297" s="150"/>
      <c r="E297" s="767"/>
      <c r="F297" s="152" t="s">
        <v>1996</v>
      </c>
      <c r="G297" s="152" t="s">
        <v>541</v>
      </c>
      <c r="H297" s="152" t="s">
        <v>541</v>
      </c>
      <c r="I297" s="148" t="s">
        <v>541</v>
      </c>
      <c r="J297" s="152">
        <v>320.041</v>
      </c>
      <c r="K297" s="156">
        <v>0.02</v>
      </c>
      <c r="L297" s="154" t="s">
        <v>1386</v>
      </c>
      <c r="M297" s="174">
        <v>6.6199199999999996E-6</v>
      </c>
      <c r="N297" s="167">
        <v>10</v>
      </c>
      <c r="O297" s="174">
        <v>0.64</v>
      </c>
      <c r="P297" s="167">
        <v>20</v>
      </c>
      <c r="Q297" s="174">
        <v>4.9999999999999998E-7</v>
      </c>
      <c r="R297" s="174"/>
      <c r="S297" s="148">
        <v>5.83</v>
      </c>
      <c r="T297" s="153">
        <f>10^S297</f>
        <v>676082.97539198259</v>
      </c>
      <c r="U297" s="148">
        <v>5.23</v>
      </c>
      <c r="V297" s="520">
        <f>10^U297</f>
        <v>169824.36524617471</v>
      </c>
      <c r="W297" s="787"/>
      <c r="X297" s="512"/>
      <c r="Y297" s="156"/>
      <c r="Z297" s="156"/>
      <c r="AA297" s="156"/>
      <c r="AB297" s="156"/>
      <c r="AC297" s="501"/>
      <c r="AD297" s="690"/>
      <c r="AE297" s="512">
        <v>5.0000000000000001E-4</v>
      </c>
      <c r="AF297" s="150"/>
      <c r="AG297" s="156">
        <f>0.00001/0.24</f>
        <v>4.1666666666666672E-5</v>
      </c>
      <c r="AH297" s="150"/>
      <c r="AI297" s="684"/>
      <c r="AJ297" s="153"/>
      <c r="AK297" s="153"/>
      <c r="AL297" s="153"/>
      <c r="AM297" s="153"/>
      <c r="AN297" s="153"/>
      <c r="AO297" s="153"/>
      <c r="AP297" s="153"/>
      <c r="AQ297" s="153"/>
      <c r="AR297" s="153"/>
      <c r="AS297" s="810"/>
      <c r="AT297" s="173"/>
      <c r="AU297" s="153"/>
      <c r="AV297" s="153"/>
      <c r="AW297" s="153"/>
      <c r="AX297" s="156"/>
      <c r="AY297" s="153"/>
      <c r="AZ297" s="153"/>
      <c r="BA297" s="153"/>
      <c r="BB297" s="684"/>
      <c r="BC297" s="157"/>
      <c r="BD297" s="521"/>
      <c r="BE297" s="521"/>
      <c r="BF297" s="521"/>
      <c r="BG297" s="521"/>
      <c r="BH297" s="521"/>
      <c r="BI297" s="521"/>
      <c r="BJ297" s="795"/>
      <c r="BK297" s="523"/>
      <c r="BL297" s="521"/>
      <c r="BN297" s="343"/>
      <c r="BO297" s="343"/>
      <c r="BP297" s="343"/>
    </row>
    <row r="298" spans="1:68" ht="242.25">
      <c r="A298" s="149"/>
      <c r="B298" s="158"/>
      <c r="C298" s="151"/>
      <c r="D298" s="150"/>
      <c r="E298" s="767"/>
      <c r="F298" s="159"/>
      <c r="G298" s="159"/>
      <c r="H298" s="159"/>
      <c r="I298" s="164" t="s">
        <v>541</v>
      </c>
      <c r="J298" s="159" t="s">
        <v>941</v>
      </c>
      <c r="K298" s="158" t="s">
        <v>1252</v>
      </c>
      <c r="L298" s="160"/>
      <c r="M298" s="158" t="s">
        <v>1253</v>
      </c>
      <c r="N298" s="160"/>
      <c r="O298" s="168" t="s">
        <v>654</v>
      </c>
      <c r="P298" s="160"/>
      <c r="Q298" s="161" t="s">
        <v>658</v>
      </c>
      <c r="R298" s="161"/>
      <c r="S298" s="158" t="s">
        <v>1254</v>
      </c>
      <c r="T298" s="153"/>
      <c r="U298" s="158" t="s">
        <v>1255</v>
      </c>
      <c r="V298" s="520"/>
      <c r="W298" s="788"/>
      <c r="X298" s="175"/>
      <c r="Y298" s="163"/>
      <c r="Z298" s="163"/>
      <c r="AA298" s="163"/>
      <c r="AB298" s="163"/>
      <c r="AC298" s="507"/>
      <c r="AD298" s="788"/>
      <c r="AE298" s="175" t="s">
        <v>955</v>
      </c>
      <c r="AF298" s="163"/>
      <c r="AG298" s="158" t="s">
        <v>1256</v>
      </c>
      <c r="AH298" s="158"/>
      <c r="AI298" s="695"/>
      <c r="AJ298" s="162"/>
      <c r="AK298" s="162"/>
      <c r="AL298" s="162"/>
      <c r="AM298" s="162"/>
      <c r="AN298" s="162"/>
      <c r="AO298" s="162"/>
      <c r="AP298" s="162"/>
      <c r="AQ298" s="162"/>
      <c r="AR298" s="162"/>
      <c r="AS298" s="811"/>
      <c r="AT298" s="527" t="s">
        <v>541</v>
      </c>
      <c r="AU298" s="162" t="s">
        <v>541</v>
      </c>
      <c r="AV298" s="164" t="s">
        <v>541</v>
      </c>
      <c r="AW298" s="164" t="s">
        <v>541</v>
      </c>
      <c r="AX298" s="164" t="s">
        <v>541</v>
      </c>
      <c r="AY298" s="162" t="s">
        <v>541</v>
      </c>
      <c r="AZ298" s="164" t="s">
        <v>541</v>
      </c>
      <c r="BA298" s="162" t="s">
        <v>541</v>
      </c>
      <c r="BB298" s="695"/>
      <c r="BC298" s="165"/>
      <c r="BD298" s="522"/>
      <c r="BE298" s="522"/>
      <c r="BF298" s="522"/>
      <c r="BG298" s="522"/>
      <c r="BH298" s="522"/>
      <c r="BI298" s="522"/>
      <c r="BJ298" s="806"/>
      <c r="BK298" s="524" t="s">
        <v>541</v>
      </c>
      <c r="BL298" s="522" t="s">
        <v>541</v>
      </c>
      <c r="BN298" s="343"/>
      <c r="BO298" s="343"/>
      <c r="BP298" s="343"/>
    </row>
    <row r="299" spans="1:68">
      <c r="A299" s="149">
        <v>189</v>
      </c>
      <c r="B299" s="156" t="s">
        <v>144</v>
      </c>
      <c r="C299" s="172" t="s">
        <v>1251</v>
      </c>
      <c r="D299" s="148"/>
      <c r="E299" s="766"/>
      <c r="F299" s="173" t="s">
        <v>1996</v>
      </c>
      <c r="G299" s="173" t="s">
        <v>541</v>
      </c>
      <c r="H299" s="173" t="s">
        <v>541</v>
      </c>
      <c r="I299" s="156" t="s">
        <v>541</v>
      </c>
      <c r="J299" s="173">
        <v>318.02600000000001</v>
      </c>
      <c r="K299" s="156">
        <v>0.04</v>
      </c>
      <c r="L299" s="154">
        <v>20</v>
      </c>
      <c r="M299" s="174">
        <v>7.4999999999999993E-5</v>
      </c>
      <c r="N299" s="167">
        <v>10</v>
      </c>
      <c r="O299" s="156">
        <v>1.25</v>
      </c>
      <c r="P299" s="154">
        <v>10</v>
      </c>
      <c r="Q299" s="174">
        <v>4.9999999999999998E-7</v>
      </c>
      <c r="R299" s="174"/>
      <c r="S299" s="153">
        <v>6.09</v>
      </c>
      <c r="T299" s="153">
        <f>10^S299</f>
        <v>1230268.770812382</v>
      </c>
      <c r="U299" s="153">
        <v>4.63</v>
      </c>
      <c r="V299" s="520">
        <f>10^U299</f>
        <v>42657.951880159271</v>
      </c>
      <c r="X299" s="512"/>
      <c r="Y299" s="156"/>
      <c r="Z299" s="156"/>
      <c r="AA299" s="156"/>
      <c r="AB299" s="156"/>
      <c r="AC299" s="501"/>
      <c r="AD299" s="690"/>
      <c r="AE299" s="512">
        <v>5.0000000000000001E-4</v>
      </c>
      <c r="AF299" s="156"/>
      <c r="AG299" s="156">
        <f>0.00001/0.34</f>
        <v>2.9411764705882354E-5</v>
      </c>
      <c r="AH299" s="156"/>
      <c r="AI299" s="690"/>
      <c r="AJ299" s="153"/>
      <c r="AK299" s="153"/>
      <c r="AL299" s="153"/>
      <c r="AM299" s="153"/>
      <c r="AN299" s="153"/>
      <c r="AO299" s="153"/>
      <c r="AP299" s="153"/>
      <c r="AQ299" s="153"/>
      <c r="AR299" s="153"/>
      <c r="AS299" s="810"/>
      <c r="AT299" s="173"/>
      <c r="AU299" s="153"/>
      <c r="AV299" s="153"/>
      <c r="AW299" s="153"/>
      <c r="AX299" s="156"/>
      <c r="AY299" s="153"/>
      <c r="AZ299" s="153"/>
      <c r="BA299" s="153"/>
      <c r="BB299" s="684"/>
      <c r="BC299" s="157"/>
      <c r="BD299" s="521"/>
      <c r="BE299" s="521"/>
      <c r="BF299" s="521"/>
      <c r="BG299" s="521"/>
      <c r="BH299" s="521"/>
      <c r="BI299" s="521"/>
      <c r="BJ299" s="795"/>
      <c r="BK299" s="523"/>
      <c r="BL299" s="521"/>
      <c r="BN299" s="343"/>
      <c r="BO299" s="343"/>
      <c r="BP299" s="343"/>
    </row>
    <row r="300" spans="1:68" ht="242.25">
      <c r="A300" s="149"/>
      <c r="B300" s="158"/>
      <c r="C300" s="172"/>
      <c r="D300" s="148"/>
      <c r="E300" s="766"/>
      <c r="F300" s="159"/>
      <c r="G300" s="159"/>
      <c r="H300" s="159"/>
      <c r="I300" s="564" t="s">
        <v>541</v>
      </c>
      <c r="J300" s="539" t="s">
        <v>941</v>
      </c>
      <c r="K300" s="540" t="s">
        <v>1257</v>
      </c>
      <c r="L300" s="541"/>
      <c r="M300" s="540" t="s">
        <v>1258</v>
      </c>
      <c r="N300" s="541"/>
      <c r="O300" s="542" t="s">
        <v>654</v>
      </c>
      <c r="P300" s="541"/>
      <c r="Q300" s="544" t="s">
        <v>658</v>
      </c>
      <c r="R300" s="544"/>
      <c r="S300" s="540" t="s">
        <v>1259</v>
      </c>
      <c r="T300" s="543"/>
      <c r="U300" s="540" t="s">
        <v>1260</v>
      </c>
      <c r="V300" s="563"/>
      <c r="X300" s="565"/>
      <c r="Y300" s="562"/>
      <c r="Z300" s="562"/>
      <c r="AA300" s="562"/>
      <c r="AB300" s="562"/>
      <c r="AC300" s="507"/>
      <c r="AD300" s="788"/>
      <c r="AE300" s="175" t="s">
        <v>955</v>
      </c>
      <c r="AF300" s="158"/>
      <c r="AG300" s="158" t="s">
        <v>1256</v>
      </c>
      <c r="AH300" s="158"/>
      <c r="AI300" s="695"/>
      <c r="AJ300" s="162"/>
      <c r="AK300" s="162"/>
      <c r="AL300" s="162"/>
      <c r="AM300" s="162"/>
      <c r="AN300" s="162"/>
      <c r="AO300" s="162"/>
      <c r="AP300" s="162"/>
      <c r="AQ300" s="162"/>
      <c r="AR300" s="162"/>
      <c r="AS300" s="811"/>
      <c r="AT300" s="527" t="s">
        <v>541</v>
      </c>
      <c r="AU300" s="162" t="s">
        <v>541</v>
      </c>
      <c r="AV300" s="164" t="s">
        <v>541</v>
      </c>
      <c r="AW300" s="164" t="s">
        <v>541</v>
      </c>
      <c r="AX300" s="164" t="s">
        <v>541</v>
      </c>
      <c r="AY300" s="162" t="s">
        <v>541</v>
      </c>
      <c r="AZ300" s="164" t="s">
        <v>541</v>
      </c>
      <c r="BA300" s="162" t="s">
        <v>541</v>
      </c>
      <c r="BB300" s="695"/>
      <c r="BC300" s="165"/>
      <c r="BD300" s="522"/>
      <c r="BE300" s="522"/>
      <c r="BF300" s="522"/>
      <c r="BG300" s="522"/>
      <c r="BH300" s="522"/>
      <c r="BI300" s="522"/>
      <c r="BJ300" s="806"/>
      <c r="BK300" s="524" t="s">
        <v>541</v>
      </c>
      <c r="BL300" s="522" t="s">
        <v>541</v>
      </c>
      <c r="BN300" s="193"/>
      <c r="BO300" s="193"/>
      <c r="BP300" s="193"/>
    </row>
    <row r="301" spans="1:68" s="772" customFormat="1" ht="25.5">
      <c r="A301" s="681">
        <v>190</v>
      </c>
      <c r="B301" s="689" t="s">
        <v>145</v>
      </c>
      <c r="C301" s="683" t="s">
        <v>2267</v>
      </c>
      <c r="D301" s="682" t="s">
        <v>2541</v>
      </c>
      <c r="E301" s="767"/>
      <c r="F301" s="709" t="s">
        <v>1996</v>
      </c>
      <c r="G301" s="689" t="s">
        <v>1997</v>
      </c>
      <c r="H301" s="689" t="s">
        <v>541</v>
      </c>
      <c r="I301" s="689" t="s">
        <v>541</v>
      </c>
      <c r="J301" s="879">
        <v>354.48599999999999</v>
      </c>
      <c r="K301" s="879">
        <v>5.4999999999999997E-3</v>
      </c>
      <c r="L301" s="879">
        <v>25</v>
      </c>
      <c r="M301" s="912">
        <v>1.6E-7</v>
      </c>
      <c r="N301" s="879">
        <v>20</v>
      </c>
      <c r="O301" s="879">
        <v>7.48</v>
      </c>
      <c r="P301" s="879">
        <v>20</v>
      </c>
      <c r="Q301" s="912">
        <v>4.9999999999999998E-7</v>
      </c>
      <c r="R301" s="710" t="s">
        <v>541</v>
      </c>
      <c r="S301" s="879">
        <v>6.91</v>
      </c>
      <c r="T301" s="686">
        <f>10^S301</f>
        <v>8128305.1616410045</v>
      </c>
      <c r="U301" s="879">
        <v>5.26</v>
      </c>
      <c r="V301" s="686">
        <f>10^U301</f>
        <v>181970.08586099857</v>
      </c>
      <c r="W301" s="978"/>
      <c r="X301" s="689"/>
      <c r="Y301" s="870">
        <v>5.0000000000000001E-4</v>
      </c>
      <c r="Z301" s="689">
        <f>Y301</f>
        <v>5.0000000000000001E-4</v>
      </c>
      <c r="AA301" s="870">
        <v>9.7000000000000003E-2</v>
      </c>
      <c r="AB301" s="870">
        <v>0.34</v>
      </c>
      <c r="AC301" s="775">
        <f>AB301</f>
        <v>0.34</v>
      </c>
      <c r="AD301" s="690"/>
      <c r="AE301" s="780"/>
      <c r="AF301" s="689"/>
      <c r="AG301" s="689"/>
      <c r="AH301" s="689"/>
      <c r="AI301" s="690"/>
      <c r="AJ301" s="686"/>
      <c r="AK301" s="686"/>
      <c r="AL301" s="686"/>
      <c r="AM301" s="686"/>
      <c r="AN301" s="686"/>
      <c r="AO301" s="686"/>
      <c r="AP301" s="686"/>
      <c r="AQ301" s="686"/>
      <c r="AR301" s="686"/>
      <c r="AS301" s="810"/>
      <c r="AT301" s="709"/>
      <c r="AU301" s="686"/>
      <c r="AV301" s="686"/>
      <c r="AW301" s="686"/>
      <c r="AX301" s="689"/>
      <c r="AY301" s="686"/>
      <c r="AZ301" s="686"/>
      <c r="BA301" s="686"/>
      <c r="BB301" s="684"/>
      <c r="BC301" s="691"/>
      <c r="BD301" s="799"/>
      <c r="BE301" s="799"/>
      <c r="BF301" s="799"/>
      <c r="BG301" s="799"/>
      <c r="BH301" s="799"/>
      <c r="BI301" s="799"/>
      <c r="BJ301" s="795"/>
      <c r="BK301" s="803"/>
      <c r="BL301" s="799"/>
      <c r="BM301" s="802"/>
      <c r="BN301" s="870"/>
      <c r="BO301" s="870">
        <v>0.03</v>
      </c>
      <c r="BP301" s="870">
        <v>0.7</v>
      </c>
    </row>
    <row r="302" spans="1:68" s="772" customFormat="1" ht="89.25">
      <c r="A302" s="681"/>
      <c r="B302" s="692"/>
      <c r="C302" s="683"/>
      <c r="D302" s="682"/>
      <c r="E302" s="767"/>
      <c r="F302" s="693"/>
      <c r="G302" s="693"/>
      <c r="H302" s="693"/>
      <c r="I302" s="705" t="s">
        <v>1228</v>
      </c>
      <c r="J302" s="904" t="s">
        <v>2211</v>
      </c>
      <c r="K302" s="883" t="s">
        <v>2268</v>
      </c>
      <c r="L302" s="883"/>
      <c r="M302" s="883" t="s">
        <v>2269</v>
      </c>
      <c r="N302" s="883"/>
      <c r="O302" s="883" t="s">
        <v>2270</v>
      </c>
      <c r="P302" s="883"/>
      <c r="Q302" s="883" t="s">
        <v>2271</v>
      </c>
      <c r="R302" s="696"/>
      <c r="S302" s="883" t="s">
        <v>2272</v>
      </c>
      <c r="T302" s="686"/>
      <c r="U302" s="883" t="s">
        <v>2273</v>
      </c>
      <c r="V302" s="686" t="s">
        <v>2274</v>
      </c>
      <c r="W302" s="978"/>
      <c r="X302" s="692"/>
      <c r="Y302" s="874" t="s">
        <v>2275</v>
      </c>
      <c r="Z302" s="692"/>
      <c r="AA302" s="874" t="s">
        <v>2276</v>
      </c>
      <c r="AB302" s="874" t="s">
        <v>2251</v>
      </c>
      <c r="AC302" s="776"/>
      <c r="AD302" s="695"/>
      <c r="AE302" s="693"/>
      <c r="AF302" s="698"/>
      <c r="AG302" s="692"/>
      <c r="AH302" s="692"/>
      <c r="AI302" s="695"/>
      <c r="AJ302" s="697" t="s">
        <v>2221</v>
      </c>
      <c r="AK302" s="697" t="s">
        <v>2221</v>
      </c>
      <c r="AL302" s="697" t="s">
        <v>2221</v>
      </c>
      <c r="AM302" s="697" t="s">
        <v>2221</v>
      </c>
      <c r="AN302" s="697" t="s">
        <v>2221</v>
      </c>
      <c r="AO302" s="697" t="s">
        <v>2221</v>
      </c>
      <c r="AP302" s="697" t="s">
        <v>2221</v>
      </c>
      <c r="AQ302" s="697" t="s">
        <v>2221</v>
      </c>
      <c r="AR302" s="697" t="s">
        <v>2221</v>
      </c>
      <c r="AS302" s="811"/>
      <c r="AT302" s="808"/>
      <c r="AU302" s="697"/>
      <c r="AV302" s="699"/>
      <c r="AW302" s="699"/>
      <c r="AX302" s="699"/>
      <c r="AY302" s="697"/>
      <c r="AZ302" s="699"/>
      <c r="BA302" s="697"/>
      <c r="BB302" s="695"/>
      <c r="BC302" s="691" t="s">
        <v>2220</v>
      </c>
      <c r="BD302" s="691" t="s">
        <v>2220</v>
      </c>
      <c r="BE302" s="691" t="s">
        <v>2220</v>
      </c>
      <c r="BF302" s="691" t="s">
        <v>2220</v>
      </c>
      <c r="BG302" s="691" t="s">
        <v>2220</v>
      </c>
      <c r="BH302" s="691" t="s">
        <v>2220</v>
      </c>
      <c r="BI302" s="691" t="s">
        <v>2220</v>
      </c>
      <c r="BJ302" s="806"/>
      <c r="BK302" s="804"/>
      <c r="BL302" s="800"/>
      <c r="BM302" s="802"/>
      <c r="BN302" s="870" t="s">
        <v>2220</v>
      </c>
      <c r="BO302" s="874" t="s">
        <v>2229</v>
      </c>
      <c r="BP302" s="874" t="s">
        <v>2230</v>
      </c>
    </row>
    <row r="303" spans="1:68" s="772" customFormat="1">
      <c r="A303" s="681">
        <v>191</v>
      </c>
      <c r="B303" s="682" t="s">
        <v>146</v>
      </c>
      <c r="C303" s="683" t="s">
        <v>1262</v>
      </c>
      <c r="D303" s="682"/>
      <c r="E303" s="767"/>
      <c r="F303" s="685" t="s">
        <v>1996</v>
      </c>
      <c r="G303" s="689" t="s">
        <v>541</v>
      </c>
      <c r="H303" s="689" t="s">
        <v>541</v>
      </c>
      <c r="I303" s="839" t="s">
        <v>541</v>
      </c>
      <c r="J303" s="840">
        <v>290.83</v>
      </c>
      <c r="K303" s="831">
        <v>0.7</v>
      </c>
      <c r="L303" s="832">
        <v>20</v>
      </c>
      <c r="M303" s="831">
        <v>8.3990000000000004E-6</v>
      </c>
      <c r="N303" s="832">
        <v>10</v>
      </c>
      <c r="O303" s="831">
        <v>9.1999999999999998E-3</v>
      </c>
      <c r="P303" s="832">
        <v>10</v>
      </c>
      <c r="Q303" s="831">
        <v>4.9999999999999998E-7</v>
      </c>
      <c r="R303" s="831"/>
      <c r="S303" s="835">
        <v>3.8653967022298263</v>
      </c>
      <c r="T303" s="835">
        <f>10^S303</f>
        <v>7334.9423066792206</v>
      </c>
      <c r="U303" s="835">
        <v>3.7631183138816127</v>
      </c>
      <c r="V303" s="841">
        <f>10^U303</f>
        <v>5795.8657040402495</v>
      </c>
      <c r="W303" s="787"/>
      <c r="X303" s="842"/>
      <c r="Y303" s="831"/>
      <c r="Z303" s="831"/>
      <c r="AA303" s="831"/>
      <c r="AB303" s="831"/>
      <c r="AC303" s="775"/>
      <c r="AD303" s="690"/>
      <c r="AE303" s="780">
        <v>2.0000000000000002E-5</v>
      </c>
      <c r="AF303" s="689"/>
      <c r="AG303" s="682">
        <f>0.00001/1.8</f>
        <v>5.5555555555555558E-6</v>
      </c>
      <c r="AH303" s="682">
        <f>0.00001/0.53</f>
        <v>1.8867924528301888E-5</v>
      </c>
      <c r="AI303" s="684"/>
      <c r="AJ303" s="686"/>
      <c r="AK303" s="686"/>
      <c r="AL303" s="686"/>
      <c r="AM303" s="686"/>
      <c r="AN303" s="686"/>
      <c r="AO303" s="686"/>
      <c r="AP303" s="686"/>
      <c r="AQ303" s="686"/>
      <c r="AR303" s="686"/>
      <c r="AS303" s="810"/>
      <c r="AT303" s="709"/>
      <c r="AU303" s="686"/>
      <c r="AV303" s="686"/>
      <c r="AW303" s="686"/>
      <c r="AX303" s="689"/>
      <c r="AY303" s="686"/>
      <c r="AZ303" s="686"/>
      <c r="BA303" s="686"/>
      <c r="BB303" s="684"/>
      <c r="BC303" s="691"/>
      <c r="BD303" s="799"/>
      <c r="BE303" s="799"/>
      <c r="BF303" s="799"/>
      <c r="BG303" s="799"/>
      <c r="BH303" s="799"/>
      <c r="BI303" s="799"/>
      <c r="BJ303" s="795"/>
      <c r="BK303" s="803"/>
      <c r="BL303" s="799"/>
      <c r="BM303" s="802"/>
      <c r="BN303" s="725"/>
      <c r="BO303" s="725"/>
      <c r="BP303" s="725"/>
    </row>
    <row r="304" spans="1:68" s="772" customFormat="1" ht="242.25">
      <c r="A304" s="681"/>
      <c r="B304" s="692"/>
      <c r="C304" s="683"/>
      <c r="D304" s="682"/>
      <c r="E304" s="767"/>
      <c r="F304" s="693"/>
      <c r="G304" s="693"/>
      <c r="H304" s="693"/>
      <c r="I304" s="705" t="s">
        <v>1228</v>
      </c>
      <c r="J304" s="693" t="s">
        <v>762</v>
      </c>
      <c r="K304" s="692" t="s">
        <v>1263</v>
      </c>
      <c r="L304" s="694"/>
      <c r="M304" s="692" t="s">
        <v>1264</v>
      </c>
      <c r="N304" s="694"/>
      <c r="O304" s="688" t="s">
        <v>654</v>
      </c>
      <c r="P304" s="694"/>
      <c r="Q304" s="696" t="s">
        <v>658</v>
      </c>
      <c r="R304" s="696"/>
      <c r="S304" s="692" t="s">
        <v>1265</v>
      </c>
      <c r="T304" s="686"/>
      <c r="U304" s="692" t="s">
        <v>1260</v>
      </c>
      <c r="V304" s="790"/>
      <c r="W304" s="796"/>
      <c r="X304" s="693"/>
      <c r="Y304" s="692"/>
      <c r="Z304" s="692"/>
      <c r="AA304" s="692"/>
      <c r="AB304" s="692"/>
      <c r="AC304" s="776"/>
      <c r="AD304" s="695"/>
      <c r="AE304" s="693" t="s">
        <v>955</v>
      </c>
      <c r="AF304" s="692"/>
      <c r="AG304" s="692" t="s">
        <v>1266</v>
      </c>
      <c r="AH304" s="692" t="s">
        <v>1267</v>
      </c>
      <c r="AI304" s="695"/>
      <c r="AJ304" s="697"/>
      <c r="AK304" s="697"/>
      <c r="AL304" s="697"/>
      <c r="AM304" s="697"/>
      <c r="AN304" s="697"/>
      <c r="AO304" s="697"/>
      <c r="AP304" s="697"/>
      <c r="AQ304" s="697"/>
      <c r="AR304" s="697"/>
      <c r="AS304" s="811"/>
      <c r="AT304" s="808" t="s">
        <v>541</v>
      </c>
      <c r="AU304" s="697" t="s">
        <v>541</v>
      </c>
      <c r="AV304" s="699" t="s">
        <v>541</v>
      </c>
      <c r="AW304" s="699" t="s">
        <v>541</v>
      </c>
      <c r="AX304" s="699" t="s">
        <v>541</v>
      </c>
      <c r="AY304" s="697" t="s">
        <v>541</v>
      </c>
      <c r="AZ304" s="699" t="s">
        <v>541</v>
      </c>
      <c r="BA304" s="697" t="s">
        <v>541</v>
      </c>
      <c r="BB304" s="695"/>
      <c r="BC304" s="700"/>
      <c r="BD304" s="800"/>
      <c r="BE304" s="800"/>
      <c r="BF304" s="800"/>
      <c r="BG304" s="800"/>
      <c r="BH304" s="800"/>
      <c r="BI304" s="800"/>
      <c r="BJ304" s="806"/>
      <c r="BK304" s="804" t="s">
        <v>541</v>
      </c>
      <c r="BL304" s="800" t="s">
        <v>541</v>
      </c>
      <c r="BM304" s="802"/>
      <c r="BN304" s="725"/>
      <c r="BO304" s="725"/>
      <c r="BP304" s="725"/>
    </row>
    <row r="305" spans="1:68" s="772" customFormat="1" ht="25.5">
      <c r="A305" s="681">
        <v>192</v>
      </c>
      <c r="B305" s="715" t="s">
        <v>181</v>
      </c>
      <c r="C305" s="683" t="s">
        <v>1154</v>
      </c>
      <c r="D305" s="682" t="s">
        <v>2542</v>
      </c>
      <c r="E305" s="767"/>
      <c r="F305" s="685" t="s">
        <v>1996</v>
      </c>
      <c r="G305" s="685" t="s">
        <v>1996</v>
      </c>
      <c r="H305" s="685" t="s">
        <v>1416</v>
      </c>
      <c r="I305" s="679">
        <v>2.8</v>
      </c>
      <c r="J305" s="685">
        <v>221.03800000000001</v>
      </c>
      <c r="K305" s="689">
        <v>633</v>
      </c>
      <c r="L305" s="687">
        <v>15</v>
      </c>
      <c r="M305" s="710">
        <v>1.33E-5</v>
      </c>
      <c r="N305" s="702" t="s">
        <v>1386</v>
      </c>
      <c r="O305" s="710">
        <v>0.85299999999999998</v>
      </c>
      <c r="P305" s="702">
        <v>20</v>
      </c>
      <c r="Q305" s="710"/>
      <c r="R305" s="710"/>
      <c r="S305" s="701">
        <v>2.315841404310881</v>
      </c>
      <c r="T305" s="686">
        <f>10^S305</f>
        <v>206.93855124458395</v>
      </c>
      <c r="U305" s="701">
        <v>1.5180737900687979</v>
      </c>
      <c r="V305" s="790">
        <f>10^U305</f>
        <v>32.966572023354018</v>
      </c>
      <c r="W305" s="787"/>
      <c r="X305" s="780"/>
      <c r="Y305" s="689"/>
      <c r="Z305" s="689"/>
      <c r="AA305" s="689"/>
      <c r="AB305" s="689"/>
      <c r="AC305" s="775"/>
      <c r="AD305" s="690"/>
      <c r="AE305" s="780">
        <v>0.01</v>
      </c>
      <c r="AF305" s="689"/>
      <c r="AG305" s="682"/>
      <c r="AH305" s="682"/>
      <c r="AI305" s="684"/>
      <c r="AJ305" s="686"/>
      <c r="AK305" s="686"/>
      <c r="AL305" s="686"/>
      <c r="AM305" s="686"/>
      <c r="AN305" s="686"/>
      <c r="AO305" s="686"/>
      <c r="AP305" s="686"/>
      <c r="AQ305" s="686"/>
      <c r="AR305" s="686"/>
      <c r="AS305" s="810"/>
      <c r="AT305" s="709"/>
      <c r="AU305" s="686"/>
      <c r="AV305" s="686"/>
      <c r="AW305" s="686"/>
      <c r="AX305" s="689"/>
      <c r="AY305" s="686"/>
      <c r="AZ305" s="686"/>
      <c r="BA305" s="686"/>
      <c r="BB305" s="684"/>
      <c r="BC305" s="691"/>
      <c r="BD305" s="799"/>
      <c r="BE305" s="799"/>
      <c r="BF305" s="799"/>
      <c r="BG305" s="799"/>
      <c r="BH305" s="799"/>
      <c r="BI305" s="799"/>
      <c r="BJ305" s="795"/>
      <c r="BK305" s="803"/>
      <c r="BL305" s="799"/>
      <c r="BM305" s="802"/>
      <c r="BN305" s="725"/>
      <c r="BO305" s="725"/>
      <c r="BP305" s="725"/>
    </row>
    <row r="306" spans="1:68" s="772" customFormat="1" ht="127.5">
      <c r="A306" s="681"/>
      <c r="B306" s="692"/>
      <c r="C306" s="683"/>
      <c r="D306" s="682"/>
      <c r="E306" s="767"/>
      <c r="F306" s="693"/>
      <c r="G306" s="693"/>
      <c r="H306" s="693"/>
      <c r="I306" s="692" t="s">
        <v>1272</v>
      </c>
      <c r="J306" s="693" t="s">
        <v>762</v>
      </c>
      <c r="K306" s="696" t="s">
        <v>1268</v>
      </c>
      <c r="L306" s="716"/>
      <c r="M306" s="692" t="s">
        <v>1269</v>
      </c>
      <c r="N306" s="694"/>
      <c r="O306" s="703" t="s">
        <v>654</v>
      </c>
      <c r="P306" s="694"/>
      <c r="Q306" s="698"/>
      <c r="R306" s="698"/>
      <c r="S306" s="692" t="s">
        <v>1270</v>
      </c>
      <c r="T306" s="686"/>
      <c r="U306" s="692" t="s">
        <v>1271</v>
      </c>
      <c r="V306" s="790"/>
      <c r="W306" s="787"/>
      <c r="X306" s="693"/>
      <c r="Y306" s="692"/>
      <c r="Z306" s="692"/>
      <c r="AA306" s="692"/>
      <c r="AB306" s="692"/>
      <c r="AC306" s="776"/>
      <c r="AD306" s="695"/>
      <c r="AE306" s="693" t="s">
        <v>1261</v>
      </c>
      <c r="AF306" s="692"/>
      <c r="AG306" s="692"/>
      <c r="AH306" s="692"/>
      <c r="AI306" s="695"/>
      <c r="AJ306" s="697"/>
      <c r="AK306" s="697"/>
      <c r="AL306" s="697"/>
      <c r="AM306" s="697"/>
      <c r="AN306" s="697"/>
      <c r="AO306" s="697"/>
      <c r="AP306" s="697"/>
      <c r="AQ306" s="697"/>
      <c r="AR306" s="697"/>
      <c r="AS306" s="811"/>
      <c r="AT306" s="808" t="s">
        <v>541</v>
      </c>
      <c r="AU306" s="697" t="s">
        <v>541</v>
      </c>
      <c r="AV306" s="699" t="s">
        <v>541</v>
      </c>
      <c r="AW306" s="699" t="s">
        <v>541</v>
      </c>
      <c r="AX306" s="699" t="s">
        <v>541</v>
      </c>
      <c r="AY306" s="697" t="s">
        <v>541</v>
      </c>
      <c r="AZ306" s="699" t="s">
        <v>541</v>
      </c>
      <c r="BA306" s="697" t="s">
        <v>541</v>
      </c>
      <c r="BB306" s="695"/>
      <c r="BC306" s="700"/>
      <c r="BD306" s="800"/>
      <c r="BE306" s="800"/>
      <c r="BF306" s="800"/>
      <c r="BG306" s="800"/>
      <c r="BH306" s="800"/>
      <c r="BI306" s="800"/>
      <c r="BJ306" s="806"/>
      <c r="BK306" s="804" t="s">
        <v>541</v>
      </c>
      <c r="BL306" s="800" t="s">
        <v>541</v>
      </c>
      <c r="BM306" s="802"/>
      <c r="BN306" s="725"/>
      <c r="BO306" s="725"/>
      <c r="BP306" s="725"/>
    </row>
    <row r="307" spans="1:68" s="772" customFormat="1">
      <c r="A307" s="681">
        <v>193</v>
      </c>
      <c r="B307" s="715" t="s">
        <v>175</v>
      </c>
      <c r="C307" s="683" t="s">
        <v>1273</v>
      </c>
      <c r="D307" s="682"/>
      <c r="E307" s="767"/>
      <c r="F307" s="685" t="s">
        <v>1996</v>
      </c>
      <c r="G307" s="685" t="s">
        <v>1996</v>
      </c>
      <c r="H307" s="685" t="s">
        <v>1416</v>
      </c>
      <c r="I307" s="679">
        <v>3</v>
      </c>
      <c r="J307" s="685">
        <v>235.06399999999999</v>
      </c>
      <c r="K307" s="689">
        <v>350</v>
      </c>
      <c r="L307" s="687">
        <v>20</v>
      </c>
      <c r="M307" s="710">
        <v>4.4999999999999999E-4</v>
      </c>
      <c r="N307" s="702">
        <v>20</v>
      </c>
      <c r="O307" s="710">
        <v>8.7949999999999996E-6</v>
      </c>
      <c r="P307" s="702">
        <v>20</v>
      </c>
      <c r="Q307" s="710"/>
      <c r="R307" s="710"/>
      <c r="S307" s="701">
        <v>2.7508920617152905</v>
      </c>
      <c r="T307" s="686">
        <f>10^S307</f>
        <v>563.49758837248964</v>
      </c>
      <c r="U307" s="701">
        <v>2.04</v>
      </c>
      <c r="V307" s="790">
        <f>10^U307</f>
        <v>109.64781961431861</v>
      </c>
      <c r="W307" s="787"/>
      <c r="X307" s="780"/>
      <c r="Y307" s="689"/>
      <c r="Z307" s="689"/>
      <c r="AA307" s="689"/>
      <c r="AB307" s="689"/>
      <c r="AC307" s="775"/>
      <c r="AD307" s="690"/>
      <c r="AE307" s="780">
        <v>3.6400000000000002E-2</v>
      </c>
      <c r="AF307" s="689"/>
      <c r="AG307" s="682"/>
      <c r="AH307" s="682"/>
      <c r="AI307" s="684"/>
      <c r="AJ307" s="686"/>
      <c r="AK307" s="686"/>
      <c r="AL307" s="686"/>
      <c r="AM307" s="686"/>
      <c r="AN307" s="686"/>
      <c r="AO307" s="686"/>
      <c r="AP307" s="686"/>
      <c r="AQ307" s="686"/>
      <c r="AR307" s="686"/>
      <c r="AS307" s="810"/>
      <c r="AT307" s="709"/>
      <c r="AU307" s="686"/>
      <c r="AV307" s="686"/>
      <c r="AW307" s="686"/>
      <c r="AX307" s="689"/>
      <c r="AY307" s="686"/>
      <c r="AZ307" s="686"/>
      <c r="BA307" s="686"/>
      <c r="BB307" s="684"/>
      <c r="BC307" s="691"/>
      <c r="BD307" s="799"/>
      <c r="BE307" s="799"/>
      <c r="BF307" s="799"/>
      <c r="BG307" s="799"/>
      <c r="BH307" s="799"/>
      <c r="BI307" s="799"/>
      <c r="BJ307" s="795"/>
      <c r="BK307" s="803"/>
      <c r="BL307" s="799"/>
      <c r="BM307" s="802"/>
      <c r="BN307" s="869"/>
      <c r="BO307" s="869"/>
      <c r="BP307" s="869"/>
    </row>
    <row r="308" spans="1:68" s="772" customFormat="1" ht="114.75">
      <c r="A308" s="681"/>
      <c r="B308" s="692"/>
      <c r="C308" s="683"/>
      <c r="D308" s="682"/>
      <c r="E308" s="767"/>
      <c r="F308" s="693"/>
      <c r="G308" s="693"/>
      <c r="H308" s="693"/>
      <c r="I308" s="692" t="s">
        <v>1277</v>
      </c>
      <c r="J308" s="693" t="s">
        <v>762</v>
      </c>
      <c r="K308" s="696" t="s">
        <v>1274</v>
      </c>
      <c r="L308" s="716"/>
      <c r="M308" s="692" t="s">
        <v>1275</v>
      </c>
      <c r="N308" s="694"/>
      <c r="O308" s="703" t="s">
        <v>654</v>
      </c>
      <c r="P308" s="694"/>
      <c r="Q308" s="698"/>
      <c r="R308" s="698"/>
      <c r="S308" s="692" t="s">
        <v>1276</v>
      </c>
      <c r="T308" s="686"/>
      <c r="U308" s="692" t="s">
        <v>1260</v>
      </c>
      <c r="V308" s="790"/>
      <c r="W308" s="787"/>
      <c r="X308" s="693"/>
      <c r="Y308" s="692"/>
      <c r="Z308" s="692"/>
      <c r="AA308" s="692"/>
      <c r="AB308" s="692"/>
      <c r="AC308" s="776"/>
      <c r="AD308" s="695"/>
      <c r="AE308" s="693" t="s">
        <v>1278</v>
      </c>
      <c r="AF308" s="692"/>
      <c r="AG308" s="692"/>
      <c r="AH308" s="692"/>
      <c r="AI308" s="695"/>
      <c r="AJ308" s="697"/>
      <c r="AK308" s="697"/>
      <c r="AL308" s="697"/>
      <c r="AM308" s="697"/>
      <c r="AN308" s="697"/>
      <c r="AO308" s="697"/>
      <c r="AP308" s="697"/>
      <c r="AQ308" s="697"/>
      <c r="AR308" s="697"/>
      <c r="AS308" s="811"/>
      <c r="AT308" s="808" t="s">
        <v>541</v>
      </c>
      <c r="AU308" s="697" t="s">
        <v>541</v>
      </c>
      <c r="AV308" s="699" t="s">
        <v>541</v>
      </c>
      <c r="AW308" s="699" t="s">
        <v>541</v>
      </c>
      <c r="AX308" s="699" t="s">
        <v>541</v>
      </c>
      <c r="AY308" s="697" t="s">
        <v>541</v>
      </c>
      <c r="AZ308" s="699" t="s">
        <v>541</v>
      </c>
      <c r="BA308" s="697" t="s">
        <v>541</v>
      </c>
      <c r="BB308" s="695"/>
      <c r="BC308" s="700"/>
      <c r="BD308" s="800"/>
      <c r="BE308" s="800"/>
      <c r="BF308" s="800"/>
      <c r="BG308" s="800"/>
      <c r="BH308" s="800"/>
      <c r="BI308" s="800"/>
      <c r="BJ308" s="806"/>
      <c r="BK308" s="804" t="s">
        <v>541</v>
      </c>
      <c r="BL308" s="800" t="s">
        <v>541</v>
      </c>
      <c r="BM308" s="802"/>
      <c r="BN308" s="869"/>
      <c r="BO308" s="869"/>
      <c r="BP308" s="869"/>
    </row>
    <row r="309" spans="1:68" s="772" customFormat="1">
      <c r="A309" s="681">
        <v>194</v>
      </c>
      <c r="B309" s="715" t="s">
        <v>182</v>
      </c>
      <c r="C309" s="683" t="s">
        <v>1279</v>
      </c>
      <c r="D309" s="682"/>
      <c r="E309" s="767"/>
      <c r="F309" s="685" t="s">
        <v>1996</v>
      </c>
      <c r="G309" s="685" t="s">
        <v>1996</v>
      </c>
      <c r="H309" s="685" t="s">
        <v>1416</v>
      </c>
      <c r="I309" s="679">
        <v>3.1</v>
      </c>
      <c r="J309" s="685">
        <v>200.61799999999999</v>
      </c>
      <c r="K309" s="689">
        <v>630</v>
      </c>
      <c r="L309" s="687">
        <v>20</v>
      </c>
      <c r="M309" s="710">
        <v>2.0000000000000001E-4</v>
      </c>
      <c r="N309" s="702">
        <v>20</v>
      </c>
      <c r="O309" s="710">
        <v>2.5000000000000001E-4</v>
      </c>
      <c r="P309" s="702">
        <v>25</v>
      </c>
      <c r="Q309" s="710"/>
      <c r="R309" s="710"/>
      <c r="S309" s="679">
        <v>2.4900000000000002</v>
      </c>
      <c r="T309" s="686">
        <f>10^S309</f>
        <v>309.02954325135937</v>
      </c>
      <c r="U309" s="701">
        <v>2.1854065559144118</v>
      </c>
      <c r="V309" s="790">
        <f>10^U309</f>
        <v>153.25214290416332</v>
      </c>
      <c r="W309" s="787"/>
      <c r="X309" s="780"/>
      <c r="Y309" s="689"/>
      <c r="Z309" s="689"/>
      <c r="AA309" s="689"/>
      <c r="AB309" s="689"/>
      <c r="AC309" s="775"/>
      <c r="AD309" s="690"/>
      <c r="AE309" s="780">
        <v>5.0000000000000001E-4</v>
      </c>
      <c r="AF309" s="689"/>
      <c r="AG309" s="682"/>
      <c r="AH309" s="682"/>
      <c r="AI309" s="684"/>
      <c r="AJ309" s="686"/>
      <c r="AK309" s="686"/>
      <c r="AL309" s="686"/>
      <c r="AM309" s="686"/>
      <c r="AN309" s="686"/>
      <c r="AO309" s="686"/>
      <c r="AP309" s="686"/>
      <c r="AQ309" s="686"/>
      <c r="AR309" s="686"/>
      <c r="AS309" s="810"/>
      <c r="AT309" s="709"/>
      <c r="AU309" s="686"/>
      <c r="AV309" s="686"/>
      <c r="AW309" s="686"/>
      <c r="AX309" s="689"/>
      <c r="AY309" s="686"/>
      <c r="AZ309" s="686"/>
      <c r="BA309" s="686"/>
      <c r="BB309" s="684"/>
      <c r="BC309" s="691"/>
      <c r="BD309" s="799"/>
      <c r="BE309" s="799"/>
      <c r="BF309" s="799"/>
      <c r="BG309" s="799"/>
      <c r="BH309" s="799"/>
      <c r="BI309" s="799"/>
      <c r="BJ309" s="795"/>
      <c r="BK309" s="803"/>
      <c r="BL309" s="799"/>
      <c r="BM309" s="802"/>
      <c r="BN309" s="869"/>
      <c r="BO309" s="869"/>
      <c r="BP309" s="869"/>
    </row>
    <row r="310" spans="1:68" s="772" customFormat="1" ht="127.5">
      <c r="A310" s="681"/>
      <c r="B310" s="692"/>
      <c r="C310" s="683"/>
      <c r="D310" s="682"/>
      <c r="E310" s="767"/>
      <c r="F310" s="693"/>
      <c r="G310" s="693"/>
      <c r="H310" s="693"/>
      <c r="I310" s="692" t="s">
        <v>1284</v>
      </c>
      <c r="J310" s="693" t="s">
        <v>1280</v>
      </c>
      <c r="K310" s="696" t="s">
        <v>1281</v>
      </c>
      <c r="L310" s="716"/>
      <c r="M310" s="692" t="s">
        <v>1282</v>
      </c>
      <c r="N310" s="694"/>
      <c r="O310" s="703" t="s">
        <v>654</v>
      </c>
      <c r="P310" s="694"/>
      <c r="Q310" s="694"/>
      <c r="R310" s="694"/>
      <c r="S310" s="692" t="s">
        <v>1283</v>
      </c>
      <c r="T310" s="686"/>
      <c r="U310" s="692" t="s">
        <v>1265</v>
      </c>
      <c r="V310" s="790"/>
      <c r="W310" s="787"/>
      <c r="X310" s="693"/>
      <c r="Y310" s="692"/>
      <c r="Z310" s="692"/>
      <c r="AA310" s="692"/>
      <c r="AB310" s="692"/>
      <c r="AC310" s="776"/>
      <c r="AD310" s="695"/>
      <c r="AE310" s="693" t="s">
        <v>1261</v>
      </c>
      <c r="AF310" s="692"/>
      <c r="AG310" s="692"/>
      <c r="AH310" s="692"/>
      <c r="AI310" s="695"/>
      <c r="AJ310" s="697"/>
      <c r="AK310" s="697"/>
      <c r="AL310" s="697"/>
      <c r="AM310" s="697"/>
      <c r="AN310" s="697"/>
      <c r="AO310" s="697"/>
      <c r="AP310" s="697"/>
      <c r="AQ310" s="697"/>
      <c r="AR310" s="697"/>
      <c r="AS310" s="811"/>
      <c r="AT310" s="808" t="s">
        <v>541</v>
      </c>
      <c r="AU310" s="697" t="s">
        <v>541</v>
      </c>
      <c r="AV310" s="699" t="s">
        <v>541</v>
      </c>
      <c r="AW310" s="699" t="s">
        <v>541</v>
      </c>
      <c r="AX310" s="699" t="s">
        <v>541</v>
      </c>
      <c r="AY310" s="697" t="s">
        <v>541</v>
      </c>
      <c r="AZ310" s="699" t="s">
        <v>541</v>
      </c>
      <c r="BA310" s="697" t="s">
        <v>541</v>
      </c>
      <c r="BB310" s="695"/>
      <c r="BC310" s="700"/>
      <c r="BD310" s="800"/>
      <c r="BE310" s="800"/>
      <c r="BF310" s="800"/>
      <c r="BG310" s="800"/>
      <c r="BH310" s="800"/>
      <c r="BI310" s="800"/>
      <c r="BJ310" s="806"/>
      <c r="BK310" s="804" t="s">
        <v>541</v>
      </c>
      <c r="BL310" s="800" t="s">
        <v>541</v>
      </c>
      <c r="BM310" s="802"/>
      <c r="BN310" s="869"/>
      <c r="BO310" s="869"/>
      <c r="BP310" s="869"/>
    </row>
    <row r="311" spans="1:68" s="772" customFormat="1">
      <c r="A311" s="681">
        <v>195</v>
      </c>
      <c r="B311" s="715" t="s">
        <v>183</v>
      </c>
      <c r="C311" s="683" t="s">
        <v>1285</v>
      </c>
      <c r="D311" s="682"/>
      <c r="E311" s="767"/>
      <c r="F311" s="685" t="s">
        <v>1996</v>
      </c>
      <c r="G311" s="685" t="s">
        <v>1996</v>
      </c>
      <c r="H311" s="685" t="s">
        <v>1416</v>
      </c>
      <c r="I311" s="679">
        <v>3.11</v>
      </c>
      <c r="J311" s="685">
        <v>214.64500000000001</v>
      </c>
      <c r="K311" s="689">
        <v>620</v>
      </c>
      <c r="L311" s="687">
        <v>20</v>
      </c>
      <c r="M311" s="710">
        <v>3.1E-4</v>
      </c>
      <c r="N311" s="702">
        <v>20</v>
      </c>
      <c r="O311" s="710">
        <v>1.11E-5</v>
      </c>
      <c r="P311" s="702">
        <v>25</v>
      </c>
      <c r="Q311" s="710"/>
      <c r="R311" s="710"/>
      <c r="S311" s="679">
        <v>3.13</v>
      </c>
      <c r="T311" s="686">
        <f>10^S311</f>
        <v>1348.9628825916541</v>
      </c>
      <c r="U311" s="701">
        <v>1.5277644026989461</v>
      </c>
      <c r="V311" s="790">
        <f>10^U311</f>
        <v>33.710438570477983</v>
      </c>
      <c r="W311" s="787"/>
      <c r="X311" s="781"/>
      <c r="Y311" s="710"/>
      <c r="Z311" s="710"/>
      <c r="AA311" s="710"/>
      <c r="AB311" s="710"/>
      <c r="AC311" s="778"/>
      <c r="AD311" s="786"/>
      <c r="AE311" s="781">
        <v>1E-3</v>
      </c>
      <c r="AF311" s="682"/>
      <c r="AG311" s="682"/>
      <c r="AH311" s="682"/>
      <c r="AI311" s="684"/>
      <c r="AJ311" s="686"/>
      <c r="AK311" s="686"/>
      <c r="AL311" s="686"/>
      <c r="AM311" s="686"/>
      <c r="AN311" s="686"/>
      <c r="AO311" s="686"/>
      <c r="AP311" s="686"/>
      <c r="AQ311" s="686"/>
      <c r="AR311" s="686"/>
      <c r="AS311" s="810"/>
      <c r="AT311" s="709"/>
      <c r="AU311" s="686"/>
      <c r="AV311" s="686"/>
      <c r="AW311" s="686"/>
      <c r="AX311" s="689"/>
      <c r="AY311" s="686"/>
      <c r="AZ311" s="686"/>
      <c r="BA311" s="686"/>
      <c r="BB311" s="684"/>
      <c r="BC311" s="691"/>
      <c r="BD311" s="799"/>
      <c r="BE311" s="799"/>
      <c r="BF311" s="799"/>
      <c r="BG311" s="799"/>
      <c r="BH311" s="799"/>
      <c r="BI311" s="799"/>
      <c r="BJ311" s="795"/>
      <c r="BK311" s="803"/>
      <c r="BL311" s="799"/>
      <c r="BM311" s="802"/>
      <c r="BN311" s="869"/>
      <c r="BO311" s="869"/>
      <c r="BP311" s="869"/>
    </row>
    <row r="312" spans="1:68" s="772" customFormat="1" ht="153">
      <c r="A312" s="681"/>
      <c r="B312" s="692"/>
      <c r="C312" s="683"/>
      <c r="D312" s="682"/>
      <c r="E312" s="767"/>
      <c r="F312" s="693"/>
      <c r="G312" s="693"/>
      <c r="H312" s="693"/>
      <c r="I312" s="692" t="s">
        <v>1290</v>
      </c>
      <c r="J312" s="693" t="s">
        <v>1280</v>
      </c>
      <c r="K312" s="696" t="s">
        <v>1286</v>
      </c>
      <c r="L312" s="716"/>
      <c r="M312" s="692" t="s">
        <v>1287</v>
      </c>
      <c r="N312" s="694"/>
      <c r="O312" s="703" t="s">
        <v>654</v>
      </c>
      <c r="P312" s="694"/>
      <c r="Q312" s="694"/>
      <c r="R312" s="694"/>
      <c r="S312" s="692" t="s">
        <v>1288</v>
      </c>
      <c r="T312" s="686"/>
      <c r="U312" s="692" t="s">
        <v>1289</v>
      </c>
      <c r="V312" s="790"/>
      <c r="W312" s="787"/>
      <c r="X312" s="693"/>
      <c r="Y312" s="692"/>
      <c r="Z312" s="692"/>
      <c r="AA312" s="692"/>
      <c r="AB312" s="692"/>
      <c r="AC312" s="776"/>
      <c r="AD312" s="695"/>
      <c r="AE312" s="693" t="s">
        <v>1291</v>
      </c>
      <c r="AF312" s="692"/>
      <c r="AG312" s="692"/>
      <c r="AH312" s="682"/>
      <c r="AI312" s="684"/>
      <c r="AJ312" s="697"/>
      <c r="AK312" s="697"/>
      <c r="AL312" s="697"/>
      <c r="AM312" s="697"/>
      <c r="AN312" s="697"/>
      <c r="AO312" s="697"/>
      <c r="AP312" s="697"/>
      <c r="AQ312" s="697"/>
      <c r="AR312" s="697"/>
      <c r="AS312" s="811"/>
      <c r="AT312" s="808" t="s">
        <v>541</v>
      </c>
      <c r="AU312" s="697" t="s">
        <v>541</v>
      </c>
      <c r="AV312" s="699" t="s">
        <v>541</v>
      </c>
      <c r="AW312" s="699" t="s">
        <v>541</v>
      </c>
      <c r="AX312" s="699" t="s">
        <v>541</v>
      </c>
      <c r="AY312" s="697" t="s">
        <v>541</v>
      </c>
      <c r="AZ312" s="699" t="s">
        <v>541</v>
      </c>
      <c r="BA312" s="697" t="s">
        <v>541</v>
      </c>
      <c r="BB312" s="695"/>
      <c r="BC312" s="700"/>
      <c r="BD312" s="800"/>
      <c r="BE312" s="800"/>
      <c r="BF312" s="800"/>
      <c r="BG312" s="800"/>
      <c r="BH312" s="800"/>
      <c r="BI312" s="800"/>
      <c r="BJ312" s="806"/>
      <c r="BK312" s="804" t="s">
        <v>541</v>
      </c>
      <c r="BL312" s="800" t="s">
        <v>541</v>
      </c>
      <c r="BM312" s="802"/>
      <c r="BN312" s="869"/>
      <c r="BO312" s="869"/>
      <c r="BP312" s="869"/>
    </row>
    <row r="313" spans="1:68" s="772" customFormat="1" ht="25.5">
      <c r="A313" s="681">
        <v>196</v>
      </c>
      <c r="B313" s="715" t="s">
        <v>148</v>
      </c>
      <c r="C313" s="683" t="s">
        <v>1292</v>
      </c>
      <c r="D313" s="682" t="s">
        <v>2086</v>
      </c>
      <c r="E313" s="767"/>
      <c r="F313" s="685" t="s">
        <v>1996</v>
      </c>
      <c r="G313" s="685" t="s">
        <v>1996</v>
      </c>
      <c r="H313" s="685" t="s">
        <v>1416</v>
      </c>
      <c r="I313" s="679">
        <v>2.6</v>
      </c>
      <c r="J313" s="685">
        <v>304.34500000000003</v>
      </c>
      <c r="K313" s="689">
        <v>40</v>
      </c>
      <c r="L313" s="687">
        <v>25</v>
      </c>
      <c r="M313" s="710">
        <f>0.0000901*133.3224</f>
        <v>1.2012348239999998E-2</v>
      </c>
      <c r="N313" s="702">
        <v>25</v>
      </c>
      <c r="O313" s="710">
        <v>9.1280000000000007E-3</v>
      </c>
      <c r="P313" s="702">
        <v>10</v>
      </c>
      <c r="Q313" s="710">
        <v>1.9999999999999999E-6</v>
      </c>
      <c r="R313" s="710" t="s">
        <v>541</v>
      </c>
      <c r="S313" s="701">
        <v>3.81</v>
      </c>
      <c r="T313" s="686">
        <f>10^S313</f>
        <v>6456.5422903465615</v>
      </c>
      <c r="U313" s="701">
        <v>2.6516022402875299</v>
      </c>
      <c r="V313" s="790">
        <f>10^U313</f>
        <v>448.33458313949603</v>
      </c>
      <c r="W313" s="787"/>
      <c r="X313" s="781">
        <v>0.01</v>
      </c>
      <c r="Y313" s="710">
        <v>6.9999999999999999E-4</v>
      </c>
      <c r="Z313" s="710">
        <v>6.9999999999999999E-4</v>
      </c>
      <c r="AA313" s="710"/>
      <c r="AB313" s="710"/>
      <c r="AC313" s="778"/>
      <c r="AD313" s="786"/>
      <c r="AE313" s="781"/>
      <c r="AF313" s="682"/>
      <c r="AG313" s="682"/>
      <c r="AH313" s="682"/>
      <c r="AI313" s="684"/>
      <c r="AJ313" s="686"/>
      <c r="AK313" s="686"/>
      <c r="AL313" s="686"/>
      <c r="AM313" s="686"/>
      <c r="AN313" s="686"/>
      <c r="AO313" s="686"/>
      <c r="AP313" s="686"/>
      <c r="AQ313" s="686"/>
      <c r="AR313" s="686"/>
      <c r="AS313" s="810"/>
      <c r="AT313" s="709"/>
      <c r="AU313" s="686"/>
      <c r="AV313" s="686"/>
      <c r="AW313" s="686"/>
      <c r="AX313" s="689"/>
      <c r="AY313" s="686"/>
      <c r="AZ313" s="686"/>
      <c r="BA313" s="686"/>
      <c r="BB313" s="684"/>
      <c r="BC313" s="691"/>
      <c r="BD313" s="799"/>
      <c r="BE313" s="799"/>
      <c r="BF313" s="799"/>
      <c r="BG313" s="799"/>
      <c r="BH313" s="799">
        <v>0</v>
      </c>
      <c r="BI313" s="799">
        <v>0</v>
      </c>
      <c r="BJ313" s="795"/>
      <c r="BK313" s="803"/>
      <c r="BL313" s="799"/>
      <c r="BM313" s="802"/>
      <c r="BN313" s="869"/>
      <c r="BO313" s="869">
        <v>0.25</v>
      </c>
      <c r="BP313" s="869">
        <v>0.8</v>
      </c>
    </row>
    <row r="314" spans="1:68" s="772" customFormat="1" ht="156" customHeight="1">
      <c r="A314" s="681"/>
      <c r="B314" s="692"/>
      <c r="C314" s="683"/>
      <c r="D314" s="682"/>
      <c r="E314" s="767"/>
      <c r="F314" s="693"/>
      <c r="G314" s="693"/>
      <c r="H314" s="693" t="s">
        <v>2087</v>
      </c>
      <c r="I314" s="697" t="s">
        <v>2088</v>
      </c>
      <c r="J314" s="693" t="s">
        <v>2089</v>
      </c>
      <c r="K314" s="696" t="s">
        <v>2091</v>
      </c>
      <c r="L314" s="716" t="s">
        <v>2090</v>
      </c>
      <c r="M314" s="692" t="s">
        <v>2092</v>
      </c>
      <c r="N314" s="694" t="s">
        <v>2030</v>
      </c>
      <c r="O314" s="703" t="s">
        <v>2093</v>
      </c>
      <c r="P314" s="694" t="s">
        <v>2011</v>
      </c>
      <c r="Q314" s="698" t="s">
        <v>2012</v>
      </c>
      <c r="R314" s="698"/>
      <c r="S314" s="692" t="s">
        <v>2094</v>
      </c>
      <c r="T314" s="686"/>
      <c r="U314" s="692" t="s">
        <v>2095</v>
      </c>
      <c r="V314" s="790"/>
      <c r="W314" s="787"/>
      <c r="X314" s="693" t="s">
        <v>2135</v>
      </c>
      <c r="Y314" s="692" t="s">
        <v>2136</v>
      </c>
      <c r="Z314" s="692" t="s">
        <v>2136</v>
      </c>
      <c r="AA314" s="692"/>
      <c r="AB314" s="692"/>
      <c r="AC314" s="776"/>
      <c r="AD314" s="695"/>
      <c r="AE314" s="693"/>
      <c r="AF314" s="692"/>
      <c r="AG314" s="692"/>
      <c r="AH314" s="682"/>
      <c r="AI314" s="684"/>
      <c r="AJ314" s="696" t="s">
        <v>2141</v>
      </c>
      <c r="AK314" s="697" t="s">
        <v>2141</v>
      </c>
      <c r="AL314" s="697" t="s">
        <v>2141</v>
      </c>
      <c r="AM314" s="697" t="s">
        <v>2141</v>
      </c>
      <c r="AN314" s="697" t="s">
        <v>2141</v>
      </c>
      <c r="AO314" s="697" t="s">
        <v>2141</v>
      </c>
      <c r="AP314" s="697" t="s">
        <v>2141</v>
      </c>
      <c r="AQ314" s="697" t="s">
        <v>2141</v>
      </c>
      <c r="AR314" s="697" t="s">
        <v>2141</v>
      </c>
      <c r="AS314" s="811"/>
      <c r="AT314" s="808"/>
      <c r="AU314" s="697"/>
      <c r="AV314" s="699"/>
      <c r="AW314" s="699"/>
      <c r="AX314" s="699"/>
      <c r="AY314" s="697"/>
      <c r="AZ314" s="699"/>
      <c r="BA314" s="697"/>
      <c r="BB314" s="695"/>
      <c r="BC314" s="871" t="s">
        <v>2141</v>
      </c>
      <c r="BD314" s="871" t="s">
        <v>2141</v>
      </c>
      <c r="BE314" s="871" t="s">
        <v>2141</v>
      </c>
      <c r="BF314" s="871" t="s">
        <v>2141</v>
      </c>
      <c r="BG314" s="871" t="s">
        <v>2141</v>
      </c>
      <c r="BH314" s="872" t="s">
        <v>2158</v>
      </c>
      <c r="BI314" s="872" t="s">
        <v>2158</v>
      </c>
      <c r="BJ314" s="806"/>
      <c r="BK314" s="804"/>
      <c r="BL314" s="800"/>
      <c r="BM314" s="802"/>
      <c r="BN314" s="869" t="s">
        <v>2141</v>
      </c>
      <c r="BO314" s="869" t="s">
        <v>2145</v>
      </c>
      <c r="BP314" s="873" t="s">
        <v>2144</v>
      </c>
    </row>
    <row r="315" spans="1:68" ht="15.75">
      <c r="A315" s="149">
        <v>197</v>
      </c>
      <c r="B315" s="150" t="s">
        <v>415</v>
      </c>
      <c r="C315" s="151" t="s">
        <v>1039</v>
      </c>
      <c r="D315" s="682" t="s">
        <v>2543</v>
      </c>
      <c r="E315" s="767"/>
      <c r="F315" s="260"/>
      <c r="G315" s="260"/>
      <c r="H315" s="260"/>
      <c r="I315" s="259" t="s">
        <v>541</v>
      </c>
      <c r="J315" s="260">
        <v>86.174999999999997</v>
      </c>
      <c r="K315" s="276">
        <v>9.8000000000000007</v>
      </c>
      <c r="L315" s="271">
        <v>25</v>
      </c>
      <c r="M315" s="264">
        <v>5126.2525697028404</v>
      </c>
      <c r="N315" s="262">
        <v>10</v>
      </c>
      <c r="O315" s="264" t="s">
        <v>541</v>
      </c>
      <c r="P315" s="262" t="s">
        <v>541</v>
      </c>
      <c r="Q315" s="264">
        <v>3.9999999999999998E-6</v>
      </c>
      <c r="R315" s="264"/>
      <c r="S315" s="261">
        <v>4</v>
      </c>
      <c r="T315" s="261">
        <f>10^S315</f>
        <v>10000</v>
      </c>
      <c r="U315" s="261">
        <v>3.5327543789925002</v>
      </c>
      <c r="V315" s="519">
        <f>10^U315</f>
        <v>3410.0000000000196</v>
      </c>
      <c r="W315" s="787"/>
      <c r="X315" s="511"/>
      <c r="Y315" s="264"/>
      <c r="Z315" s="264"/>
      <c r="AA315" s="264"/>
      <c r="AB315" s="264"/>
      <c r="AC315" s="499"/>
      <c r="AD315" s="690"/>
      <c r="AE315" s="511">
        <v>0.1</v>
      </c>
      <c r="AF315" s="259">
        <v>0.7</v>
      </c>
      <c r="AG315" s="264"/>
      <c r="AH315" s="264"/>
      <c r="AI315" s="690"/>
      <c r="AJ315" s="153"/>
      <c r="AK315" s="153"/>
      <c r="AL315" s="153"/>
      <c r="AM315" s="153"/>
      <c r="AN315" s="153"/>
      <c r="AO315" s="153"/>
      <c r="AP315" s="153"/>
      <c r="AQ315" s="153"/>
      <c r="AR315" s="153"/>
      <c r="AS315" s="810"/>
      <c r="AT315" s="173"/>
      <c r="AU315" s="153"/>
      <c r="AV315" s="156"/>
      <c r="AW315" s="153"/>
      <c r="AX315" s="156"/>
      <c r="AY315" s="153"/>
      <c r="AZ315" s="153"/>
      <c r="BA315" s="156"/>
      <c r="BB315" s="684"/>
      <c r="BC315" s="157"/>
      <c r="BD315" s="521"/>
      <c r="BE315" s="521"/>
      <c r="BF315" s="521"/>
      <c r="BG315" s="521"/>
      <c r="BH315" s="521"/>
      <c r="BI315" s="521"/>
      <c r="BJ315" s="795"/>
      <c r="BK315" s="523"/>
      <c r="BL315" s="521"/>
      <c r="BN315" s="343"/>
      <c r="BO315" s="343"/>
      <c r="BP315" s="343"/>
    </row>
    <row r="316" spans="1:68" ht="242.25">
      <c r="A316" s="149"/>
      <c r="B316" s="158"/>
      <c r="C316" s="151"/>
      <c r="D316" s="682"/>
      <c r="E316" s="767"/>
      <c r="F316" s="266"/>
      <c r="G316" s="266"/>
      <c r="H316" s="266"/>
      <c r="I316" s="265" t="s">
        <v>1044</v>
      </c>
      <c r="J316" s="266" t="s">
        <v>708</v>
      </c>
      <c r="K316" s="265" t="s">
        <v>1040</v>
      </c>
      <c r="L316" s="267"/>
      <c r="M316" s="265" t="s">
        <v>1041</v>
      </c>
      <c r="N316" s="267"/>
      <c r="O316" s="263"/>
      <c r="P316" s="267"/>
      <c r="Q316" s="267" t="s">
        <v>658</v>
      </c>
      <c r="R316" s="267"/>
      <c r="S316" s="265" t="s">
        <v>1042</v>
      </c>
      <c r="T316" s="261"/>
      <c r="U316" s="265" t="s">
        <v>1043</v>
      </c>
      <c r="V316" s="519"/>
      <c r="W316" s="788"/>
      <c r="X316" s="266"/>
      <c r="Y316" s="265"/>
      <c r="Z316" s="265"/>
      <c r="AA316" s="265"/>
      <c r="AB316" s="265"/>
      <c r="AC316" s="500"/>
      <c r="AD316" s="695"/>
      <c r="AE316" s="266" t="s">
        <v>1045</v>
      </c>
      <c r="AF316" s="265" t="s">
        <v>1046</v>
      </c>
      <c r="AG316" s="265"/>
      <c r="AH316" s="265"/>
      <c r="AI316" s="695"/>
      <c r="AJ316" s="161"/>
      <c r="AK316" s="161"/>
      <c r="AL316" s="161"/>
      <c r="AM316" s="161"/>
      <c r="AN316" s="161"/>
      <c r="AO316" s="161"/>
      <c r="AP316" s="161"/>
      <c r="AQ316" s="161"/>
      <c r="AR316" s="161"/>
      <c r="AS316" s="678"/>
      <c r="AT316" s="185"/>
      <c r="AU316" s="162"/>
      <c r="AV316" s="163"/>
      <c r="AW316" s="164"/>
      <c r="AX316" s="163"/>
      <c r="AY316" s="162"/>
      <c r="AZ316" s="164"/>
      <c r="BA316" s="163"/>
      <c r="BB316" s="695"/>
      <c r="BC316" s="165"/>
      <c r="BD316" s="522"/>
      <c r="BE316" s="522"/>
      <c r="BF316" s="522"/>
      <c r="BG316" s="522"/>
      <c r="BH316" s="522"/>
      <c r="BI316" s="522"/>
      <c r="BJ316" s="806"/>
      <c r="BK316" s="524"/>
      <c r="BL316" s="522"/>
      <c r="BN316" s="343"/>
      <c r="BO316" s="343"/>
      <c r="BP316" s="343"/>
    </row>
    <row r="317" spans="1:68" ht="15.75">
      <c r="A317" s="149">
        <v>198</v>
      </c>
      <c r="B317" s="150" t="s">
        <v>193</v>
      </c>
      <c r="C317" s="151" t="s">
        <v>1007</v>
      </c>
      <c r="D317" s="682"/>
      <c r="E317" s="767"/>
      <c r="F317" s="152" t="s">
        <v>1996</v>
      </c>
      <c r="G317" s="152" t="s">
        <v>1996</v>
      </c>
      <c r="H317" s="152" t="s">
        <v>1416</v>
      </c>
      <c r="I317" s="150">
        <v>-13.53</v>
      </c>
      <c r="J317" s="152">
        <v>182.13399999999999</v>
      </c>
      <c r="K317" s="148">
        <v>129</v>
      </c>
      <c r="L317" s="167">
        <v>12.4</v>
      </c>
      <c r="M317" s="156">
        <v>3.8E-3</v>
      </c>
      <c r="N317" s="154">
        <v>10</v>
      </c>
      <c r="O317" s="156">
        <v>8.7800000000000003E-2</v>
      </c>
      <c r="P317" s="154">
        <v>25</v>
      </c>
      <c r="Q317" s="156"/>
      <c r="R317" s="156"/>
      <c r="S317" s="153">
        <v>1.9948324971605882</v>
      </c>
      <c r="T317" s="153">
        <f>10^S317</f>
        <v>98.817189358490253</v>
      </c>
      <c r="U317" s="153">
        <v>1.68</v>
      </c>
      <c r="V317" s="520">
        <f>10^U317</f>
        <v>47.863009232263856</v>
      </c>
      <c r="W317" s="684"/>
      <c r="X317" s="512"/>
      <c r="Y317" s="156"/>
      <c r="Z317" s="156"/>
      <c r="AA317" s="156"/>
      <c r="AB317" s="156"/>
      <c r="AC317" s="501"/>
      <c r="AD317" s="690"/>
      <c r="AE317" s="512">
        <v>1E-3</v>
      </c>
      <c r="AF317" s="150"/>
      <c r="AG317" s="156">
        <f>0.00001/0.31</f>
        <v>3.2258064516129034E-5</v>
      </c>
      <c r="AH317" s="156">
        <f>0.00001/0.089</f>
        <v>1.1235955056179777E-4</v>
      </c>
      <c r="AI317" s="690"/>
      <c r="AJ317" s="153"/>
      <c r="AK317" s="153"/>
      <c r="AL317" s="153"/>
      <c r="AM317" s="153"/>
      <c r="AN317" s="153"/>
      <c r="AO317" s="153"/>
      <c r="AP317" s="153"/>
      <c r="AQ317" s="153"/>
      <c r="AR317" s="153"/>
      <c r="AS317" s="810"/>
      <c r="AT317" s="173"/>
      <c r="AU317" s="153"/>
      <c r="AV317" s="156"/>
      <c r="AW317" s="153"/>
      <c r="AX317" s="156"/>
      <c r="AY317" s="153"/>
      <c r="AZ317" s="153"/>
      <c r="BA317" s="156"/>
      <c r="BB317" s="684"/>
      <c r="BC317" s="157"/>
      <c r="BD317" s="521"/>
      <c r="BE317" s="521"/>
      <c r="BF317" s="521"/>
      <c r="BG317" s="521"/>
      <c r="BH317" s="521"/>
      <c r="BI317" s="521"/>
      <c r="BJ317" s="795"/>
      <c r="BK317" s="523"/>
      <c r="BL317" s="521"/>
      <c r="BN317" s="343"/>
      <c r="BO317" s="343"/>
      <c r="BP317" s="343"/>
    </row>
    <row r="318" spans="1:68" ht="140.25">
      <c r="A318" s="149"/>
      <c r="B318" s="158"/>
      <c r="C318" s="151"/>
      <c r="D318" s="682"/>
      <c r="E318" s="767"/>
      <c r="F318" s="159"/>
      <c r="G318" s="159"/>
      <c r="H318" s="159"/>
      <c r="I318" s="170" t="s">
        <v>1012</v>
      </c>
      <c r="J318" s="159" t="s">
        <v>708</v>
      </c>
      <c r="K318" s="158" t="s">
        <v>1008</v>
      </c>
      <c r="L318" s="160"/>
      <c r="M318" s="158" t="s">
        <v>1009</v>
      </c>
      <c r="N318" s="160"/>
      <c r="O318" s="155" t="s">
        <v>654</v>
      </c>
      <c r="P318" s="160"/>
      <c r="Q318" s="158" t="s">
        <v>715</v>
      </c>
      <c r="R318" s="158"/>
      <c r="S318" s="160" t="s">
        <v>1010</v>
      </c>
      <c r="T318" s="153"/>
      <c r="U318" s="160" t="s">
        <v>1011</v>
      </c>
      <c r="V318" s="520"/>
      <c r="W318" s="684"/>
      <c r="X318" s="159"/>
      <c r="Y318" s="158"/>
      <c r="Z318" s="158"/>
      <c r="AA318" s="158"/>
      <c r="AB318" s="158"/>
      <c r="AC318" s="502"/>
      <c r="AD318" s="695"/>
      <c r="AE318" s="159" t="s">
        <v>676</v>
      </c>
      <c r="AF318" s="158"/>
      <c r="AG318" s="158" t="s">
        <v>1013</v>
      </c>
      <c r="AH318" s="158" t="s">
        <v>1014</v>
      </c>
      <c r="AI318" s="695"/>
      <c r="AJ318" s="161"/>
      <c r="AK318" s="161"/>
      <c r="AL318" s="161"/>
      <c r="AM318" s="161"/>
      <c r="AN318" s="161"/>
      <c r="AO318" s="161"/>
      <c r="AP318" s="161"/>
      <c r="AQ318" s="161"/>
      <c r="AR318" s="161"/>
      <c r="AS318" s="678"/>
      <c r="AT318" s="185"/>
      <c r="AU318" s="162"/>
      <c r="AV318" s="163"/>
      <c r="AW318" s="164"/>
      <c r="AX318" s="163"/>
      <c r="AY318" s="162"/>
      <c r="AZ318" s="164"/>
      <c r="BA318" s="163"/>
      <c r="BB318" s="695"/>
      <c r="BC318" s="165"/>
      <c r="BD318" s="522"/>
      <c r="BE318" s="522"/>
      <c r="BF318" s="522"/>
      <c r="BG318" s="522"/>
      <c r="BH318" s="522"/>
      <c r="BI318" s="522"/>
      <c r="BJ318" s="806"/>
      <c r="BK318" s="524"/>
      <c r="BL318" s="522"/>
      <c r="BN318" s="343"/>
      <c r="BO318" s="343"/>
      <c r="BP318" s="343"/>
    </row>
    <row r="319" spans="1:68" ht="25.5">
      <c r="A319" s="149">
        <v>199</v>
      </c>
      <c r="B319" s="150" t="s">
        <v>194</v>
      </c>
      <c r="C319" s="151" t="s">
        <v>1007</v>
      </c>
      <c r="D319" s="682" t="s">
        <v>2544</v>
      </c>
      <c r="E319" s="767"/>
      <c r="F319" s="152" t="s">
        <v>1996</v>
      </c>
      <c r="G319" s="152" t="s">
        <v>541</v>
      </c>
      <c r="H319" s="152" t="s">
        <v>541</v>
      </c>
      <c r="I319" s="150" t="s">
        <v>541</v>
      </c>
      <c r="J319" s="152">
        <v>182.13399999999999</v>
      </c>
      <c r="K319" s="148">
        <v>180</v>
      </c>
      <c r="L319" s="167">
        <v>20</v>
      </c>
      <c r="M319" s="156">
        <v>1.0699999999999999E-2</v>
      </c>
      <c r="N319" s="154">
        <v>10</v>
      </c>
      <c r="O319" s="156">
        <v>2.1999999999999999E-2</v>
      </c>
      <c r="P319" s="154">
        <v>25</v>
      </c>
      <c r="Q319" s="156"/>
      <c r="R319" s="156"/>
      <c r="S319" s="153">
        <v>1.9939518851019078</v>
      </c>
      <c r="T319" s="153">
        <f>10^S319</f>
        <v>98.617022311397236</v>
      </c>
      <c r="U319" s="153">
        <v>1.798332561013118</v>
      </c>
      <c r="V319" s="520">
        <f>10^U319</f>
        <v>62.853947870652483</v>
      </c>
      <c r="W319" s="787"/>
      <c r="X319" s="512"/>
      <c r="Y319" s="156"/>
      <c r="Z319" s="156"/>
      <c r="AA319" s="156"/>
      <c r="AB319" s="156"/>
      <c r="AC319" s="501"/>
      <c r="AD319" s="690"/>
      <c r="AE319" s="512">
        <v>4.0000000000000001E-3</v>
      </c>
      <c r="AF319" s="150"/>
      <c r="AG319" s="156"/>
      <c r="AH319" s="156"/>
      <c r="AI319" s="690"/>
      <c r="AJ319" s="153"/>
      <c r="AK319" s="153"/>
      <c r="AL319" s="153"/>
      <c r="AM319" s="153"/>
      <c r="AN319" s="153"/>
      <c r="AO319" s="153"/>
      <c r="AP319" s="153"/>
      <c r="AQ319" s="153"/>
      <c r="AR319" s="153"/>
      <c r="AS319" s="810"/>
      <c r="AT319" s="173"/>
      <c r="AU319" s="153"/>
      <c r="AV319" s="156"/>
      <c r="AW319" s="153"/>
      <c r="AX319" s="156"/>
      <c r="AY319" s="153"/>
      <c r="AZ319" s="153"/>
      <c r="BA319" s="156"/>
      <c r="BB319" s="684"/>
      <c r="BC319" s="157"/>
      <c r="BD319" s="521"/>
      <c r="BE319" s="521"/>
      <c r="BF319" s="521"/>
      <c r="BG319" s="521"/>
      <c r="BH319" s="521"/>
      <c r="BI319" s="521"/>
      <c r="BJ319" s="795"/>
      <c r="BK319" s="523"/>
      <c r="BL319" s="521"/>
      <c r="BN319" s="343"/>
      <c r="BO319" s="343"/>
      <c r="BP319" s="343"/>
    </row>
    <row r="320" spans="1:68" ht="140.25">
      <c r="A320" s="149"/>
      <c r="B320" s="158"/>
      <c r="C320" s="151"/>
      <c r="D320" s="682"/>
      <c r="E320" s="767"/>
      <c r="F320" s="159"/>
      <c r="G320" s="159"/>
      <c r="H320" s="159"/>
      <c r="I320" s="158"/>
      <c r="J320" s="159" t="s">
        <v>708</v>
      </c>
      <c r="K320" s="158" t="s">
        <v>1015</v>
      </c>
      <c r="L320" s="160"/>
      <c r="M320" s="158" t="s">
        <v>1016</v>
      </c>
      <c r="N320" s="160"/>
      <c r="O320" s="155" t="s">
        <v>1017</v>
      </c>
      <c r="P320" s="160"/>
      <c r="Q320" s="158" t="s">
        <v>715</v>
      </c>
      <c r="R320" s="158"/>
      <c r="S320" s="160" t="s">
        <v>1018</v>
      </c>
      <c r="T320" s="153"/>
      <c r="U320" s="160" t="s">
        <v>1019</v>
      </c>
      <c r="V320" s="520"/>
      <c r="W320" s="788"/>
      <c r="X320" s="159"/>
      <c r="Y320" s="158"/>
      <c r="Z320" s="158"/>
      <c r="AA320" s="158"/>
      <c r="AB320" s="158"/>
      <c r="AC320" s="502"/>
      <c r="AD320" s="695"/>
      <c r="AE320" s="159" t="s">
        <v>1020</v>
      </c>
      <c r="AF320" s="158"/>
      <c r="AG320" s="158"/>
      <c r="AH320" s="158"/>
      <c r="AI320" s="695"/>
      <c r="AJ320" s="161"/>
      <c r="AK320" s="161"/>
      <c r="AL320" s="161"/>
      <c r="AM320" s="161"/>
      <c r="AN320" s="161"/>
      <c r="AO320" s="161"/>
      <c r="AP320" s="161"/>
      <c r="AQ320" s="161"/>
      <c r="AR320" s="161"/>
      <c r="AS320" s="678"/>
      <c r="AT320" s="185"/>
      <c r="AU320" s="162"/>
      <c r="AV320" s="163"/>
      <c r="AW320" s="164"/>
      <c r="AX320" s="163"/>
      <c r="AY320" s="162"/>
      <c r="AZ320" s="164"/>
      <c r="BA320" s="163"/>
      <c r="BB320" s="695"/>
      <c r="BC320" s="165"/>
      <c r="BD320" s="522"/>
      <c r="BE320" s="522"/>
      <c r="BF320" s="522"/>
      <c r="BG320" s="522"/>
      <c r="BH320" s="522"/>
      <c r="BI320" s="522"/>
      <c r="BJ320" s="806"/>
      <c r="BK320" s="524"/>
      <c r="BL320" s="522"/>
      <c r="BN320" s="343"/>
      <c r="BO320" s="343"/>
      <c r="BP320" s="343"/>
    </row>
    <row r="321" spans="1:68" ht="15.75">
      <c r="A321" s="149">
        <v>200</v>
      </c>
      <c r="B321" s="150" t="s">
        <v>147</v>
      </c>
      <c r="C321" s="151" t="s">
        <v>1032</v>
      </c>
      <c r="D321" s="150"/>
      <c r="E321" s="767"/>
      <c r="F321" s="152" t="s">
        <v>1996</v>
      </c>
      <c r="G321" s="152" t="s">
        <v>541</v>
      </c>
      <c r="H321" s="152" t="s">
        <v>541</v>
      </c>
      <c r="I321" s="150" t="s">
        <v>541</v>
      </c>
      <c r="J321" s="152">
        <v>274.40499999999997</v>
      </c>
      <c r="K321" s="148">
        <v>25</v>
      </c>
      <c r="L321" s="167">
        <v>20</v>
      </c>
      <c r="M321" s="156">
        <v>7.9181268999999992E-3</v>
      </c>
      <c r="N321" s="154">
        <v>10</v>
      </c>
      <c r="O321" s="156">
        <v>0.10100000000000001</v>
      </c>
      <c r="P321" s="154">
        <v>10</v>
      </c>
      <c r="Q321" s="156"/>
      <c r="R321" s="156"/>
      <c r="S321" s="153">
        <v>3.8259440132255982</v>
      </c>
      <c r="T321" s="153">
        <f>10^S321</f>
        <v>6697.98257269023</v>
      </c>
      <c r="U321" s="153">
        <v>3.1609417742750403</v>
      </c>
      <c r="V321" s="520">
        <f>10^U321</f>
        <v>1448.5776301768315</v>
      </c>
      <c r="W321" s="787"/>
      <c r="X321" s="512"/>
      <c r="Y321" s="156"/>
      <c r="Z321" s="156"/>
      <c r="AA321" s="156"/>
      <c r="AB321" s="156"/>
      <c r="AC321" s="501"/>
      <c r="AD321" s="690"/>
      <c r="AE321" s="512">
        <v>4.0000000000000003E-5</v>
      </c>
      <c r="AF321" s="156">
        <v>2.0000000000000001E-4</v>
      </c>
      <c r="AG321" s="156"/>
      <c r="AH321" s="156"/>
      <c r="AI321" s="690"/>
      <c r="AJ321" s="153"/>
      <c r="AK321" s="153"/>
      <c r="AL321" s="153"/>
      <c r="AM321" s="153"/>
      <c r="AN321" s="153"/>
      <c r="AO321" s="153"/>
      <c r="AP321" s="153"/>
      <c r="AQ321" s="153"/>
      <c r="AR321" s="153"/>
      <c r="AS321" s="810"/>
      <c r="AT321" s="173"/>
      <c r="AU321" s="153"/>
      <c r="AV321" s="156"/>
      <c r="AW321" s="153"/>
      <c r="AX321" s="156"/>
      <c r="AY321" s="153"/>
      <c r="AZ321" s="153"/>
      <c r="BA321" s="156"/>
      <c r="BB321" s="684"/>
      <c r="BC321" s="157"/>
      <c r="BD321" s="521"/>
      <c r="BE321" s="521"/>
      <c r="BF321" s="521"/>
      <c r="BG321" s="521"/>
      <c r="BH321" s="521"/>
      <c r="BI321" s="521"/>
      <c r="BJ321" s="795"/>
      <c r="BK321" s="523"/>
      <c r="BL321" s="521"/>
      <c r="BN321" s="343"/>
      <c r="BO321" s="343"/>
      <c r="BP321" s="343"/>
    </row>
    <row r="322" spans="1:68" ht="140.25">
      <c r="A322" s="149"/>
      <c r="B322" s="158"/>
      <c r="C322" s="151"/>
      <c r="D322" s="150"/>
      <c r="E322" s="767"/>
      <c r="F322" s="159"/>
      <c r="G322" s="159"/>
      <c r="H322" s="159"/>
      <c r="I322" s="147" t="s">
        <v>541</v>
      </c>
      <c r="J322" s="159" t="s">
        <v>708</v>
      </c>
      <c r="K322" s="160" t="s">
        <v>1033</v>
      </c>
      <c r="L322" s="160"/>
      <c r="M322" s="160" t="s">
        <v>1034</v>
      </c>
      <c r="N322" s="160"/>
      <c r="O322" s="155" t="s">
        <v>654</v>
      </c>
      <c r="P322" s="160"/>
      <c r="Q322" s="158" t="s">
        <v>715</v>
      </c>
      <c r="R322" s="158"/>
      <c r="S322" s="160" t="s">
        <v>1035</v>
      </c>
      <c r="T322" s="153"/>
      <c r="U322" s="160" t="s">
        <v>1036</v>
      </c>
      <c r="V322" s="520"/>
      <c r="W322" s="788"/>
      <c r="X322" s="159"/>
      <c r="Y322" s="158"/>
      <c r="Z322" s="158"/>
      <c r="AA322" s="158"/>
      <c r="AB322" s="158"/>
      <c r="AC322" s="502"/>
      <c r="AD322" s="695"/>
      <c r="AE322" s="159" t="s">
        <v>716</v>
      </c>
      <c r="AF322" s="158" t="s">
        <v>1037</v>
      </c>
      <c r="AG322" s="158"/>
      <c r="AH322" s="158"/>
      <c r="AI322" s="695"/>
      <c r="AJ322" s="161"/>
      <c r="AK322" s="161"/>
      <c r="AL322" s="161"/>
      <c r="AM322" s="161"/>
      <c r="AN322" s="161"/>
      <c r="AO322" s="161"/>
      <c r="AP322" s="161"/>
      <c r="AQ322" s="161"/>
      <c r="AR322" s="161"/>
      <c r="AS322" s="678"/>
      <c r="AT322" s="185"/>
      <c r="AU322" s="162"/>
      <c r="AV322" s="163"/>
      <c r="AW322" s="164"/>
      <c r="AX322" s="163"/>
      <c r="AY322" s="162"/>
      <c r="AZ322" s="164"/>
      <c r="BA322" s="163"/>
      <c r="BB322" s="695"/>
      <c r="BC322" s="165"/>
      <c r="BD322" s="522"/>
      <c r="BE322" s="522"/>
      <c r="BF322" s="522"/>
      <c r="BG322" s="522"/>
      <c r="BH322" s="522"/>
      <c r="BI322" s="522"/>
      <c r="BJ322" s="806"/>
      <c r="BK322" s="524"/>
      <c r="BL322" s="522"/>
      <c r="BN322" s="343"/>
      <c r="BO322" s="343"/>
      <c r="BP322" s="343"/>
    </row>
    <row r="323" spans="1:68" ht="15.75">
      <c r="A323" s="149">
        <v>201</v>
      </c>
      <c r="B323" s="150" t="s">
        <v>65</v>
      </c>
      <c r="C323" s="151" t="s">
        <v>1021</v>
      </c>
      <c r="D323" s="150"/>
      <c r="E323" s="767"/>
      <c r="F323" s="173" t="s">
        <v>1996</v>
      </c>
      <c r="G323" s="152" t="s">
        <v>541</v>
      </c>
      <c r="H323" s="152" t="s">
        <v>541</v>
      </c>
      <c r="I323" s="150" t="s">
        <v>541</v>
      </c>
      <c r="J323" s="173">
        <v>94.938999999999993</v>
      </c>
      <c r="K323" s="156">
        <v>27997</v>
      </c>
      <c r="L323" s="154">
        <v>10</v>
      </c>
      <c r="M323" s="156">
        <v>130289.80680000001</v>
      </c>
      <c r="N323" s="154">
        <v>10</v>
      </c>
      <c r="O323" s="156">
        <v>334.4</v>
      </c>
      <c r="P323" s="154">
        <v>10</v>
      </c>
      <c r="Q323" s="156"/>
      <c r="R323" s="156"/>
      <c r="S323" s="153">
        <v>1.19</v>
      </c>
      <c r="T323" s="153">
        <f>10^S323</f>
        <v>15.488166189124817</v>
      </c>
      <c r="U323" s="153">
        <v>2.197235819262132</v>
      </c>
      <c r="V323" s="520">
        <f>10^U323</f>
        <v>157.4837759668516</v>
      </c>
      <c r="W323" s="684"/>
      <c r="X323" s="512"/>
      <c r="Y323" s="156"/>
      <c r="Z323" s="156"/>
      <c r="AA323" s="156"/>
      <c r="AB323" s="156"/>
      <c r="AC323" s="501"/>
      <c r="AD323" s="690"/>
      <c r="AE323" s="512">
        <v>1E-3</v>
      </c>
      <c r="AF323" s="156">
        <v>5.0000000000000001E-3</v>
      </c>
      <c r="AG323" s="156"/>
      <c r="AH323" s="156"/>
      <c r="AI323" s="690"/>
      <c r="AJ323" s="153"/>
      <c r="AK323" s="153"/>
      <c r="AL323" s="153"/>
      <c r="AM323" s="153"/>
      <c r="AN323" s="153"/>
      <c r="AO323" s="153"/>
      <c r="AP323" s="153"/>
      <c r="AQ323" s="153"/>
      <c r="AR323" s="153"/>
      <c r="AS323" s="810"/>
      <c r="AT323" s="173"/>
      <c r="AU323" s="153"/>
      <c r="AV323" s="156"/>
      <c r="AW323" s="153"/>
      <c r="AX323" s="156"/>
      <c r="AY323" s="153"/>
      <c r="AZ323" s="153"/>
      <c r="BA323" s="156"/>
      <c r="BB323" s="684"/>
      <c r="BC323" s="157"/>
      <c r="BD323" s="521"/>
      <c r="BE323" s="521"/>
      <c r="BF323" s="521"/>
      <c r="BG323" s="521"/>
      <c r="BH323" s="521"/>
      <c r="BI323" s="521"/>
      <c r="BJ323" s="795"/>
      <c r="BK323" s="523"/>
      <c r="BL323" s="521"/>
      <c r="BN323" s="343"/>
      <c r="BO323" s="343"/>
      <c r="BP323" s="343"/>
    </row>
    <row r="324" spans="1:68" ht="140.25">
      <c r="A324" s="149"/>
      <c r="B324" s="158"/>
      <c r="C324" s="151"/>
      <c r="D324" s="150"/>
      <c r="E324" s="767"/>
      <c r="F324" s="159"/>
      <c r="G324" s="159"/>
      <c r="H324" s="159"/>
      <c r="I324" s="170" t="s">
        <v>541</v>
      </c>
      <c r="J324" s="159" t="s">
        <v>708</v>
      </c>
      <c r="K324" s="158" t="s">
        <v>1022</v>
      </c>
      <c r="L324" s="160"/>
      <c r="M324" s="158" t="s">
        <v>1023</v>
      </c>
      <c r="N324" s="160"/>
      <c r="O324" s="155" t="s">
        <v>654</v>
      </c>
      <c r="P324" s="160"/>
      <c r="Q324" s="158" t="s">
        <v>715</v>
      </c>
      <c r="R324" s="158"/>
      <c r="S324" s="160" t="s">
        <v>1024</v>
      </c>
      <c r="T324" s="153"/>
      <c r="U324" s="160" t="s">
        <v>1025</v>
      </c>
      <c r="V324" s="520"/>
      <c r="W324" s="684"/>
      <c r="X324" s="159"/>
      <c r="Y324" s="158"/>
      <c r="Z324" s="158"/>
      <c r="AA324" s="158"/>
      <c r="AB324" s="158"/>
      <c r="AC324" s="502"/>
      <c r="AD324" s="695"/>
      <c r="AE324" s="159" t="s">
        <v>1026</v>
      </c>
      <c r="AF324" s="158" t="s">
        <v>716</v>
      </c>
      <c r="AG324" s="158"/>
      <c r="AH324" s="158"/>
      <c r="AI324" s="695"/>
      <c r="AJ324" s="161"/>
      <c r="AK324" s="161"/>
      <c r="AL324" s="161"/>
      <c r="AM324" s="161"/>
      <c r="AN324" s="161"/>
      <c r="AO324" s="161"/>
      <c r="AP324" s="161"/>
      <c r="AQ324" s="161"/>
      <c r="AR324" s="161"/>
      <c r="AS324" s="678"/>
      <c r="AT324" s="185"/>
      <c r="AU324" s="162"/>
      <c r="AV324" s="163"/>
      <c r="AW324" s="164"/>
      <c r="AX324" s="163"/>
      <c r="AY324" s="162"/>
      <c r="AZ324" s="164"/>
      <c r="BA324" s="163"/>
      <c r="BB324" s="695"/>
      <c r="BC324" s="165"/>
      <c r="BD324" s="522"/>
      <c r="BE324" s="522"/>
      <c r="BF324" s="522"/>
      <c r="BG324" s="522"/>
      <c r="BH324" s="522"/>
      <c r="BI324" s="522"/>
      <c r="BJ324" s="806"/>
      <c r="BK324" s="524"/>
      <c r="BL324" s="522"/>
      <c r="BN324" s="193"/>
      <c r="BO324" s="193"/>
      <c r="BP324" s="193"/>
    </row>
    <row r="325" spans="1:68">
      <c r="A325" s="191">
        <v>202</v>
      </c>
      <c r="B325" s="191" t="s">
        <v>416</v>
      </c>
      <c r="C325" s="486" t="s">
        <v>1353</v>
      </c>
      <c r="D325" s="191"/>
      <c r="E325" s="728"/>
      <c r="F325" s="191" t="s">
        <v>1996</v>
      </c>
      <c r="G325" s="152" t="s">
        <v>541</v>
      </c>
      <c r="H325" s="152" t="s">
        <v>541</v>
      </c>
      <c r="I325" s="191"/>
      <c r="J325" s="191"/>
      <c r="K325" s="191"/>
      <c r="L325" s="191"/>
      <c r="M325" s="191"/>
      <c r="N325" s="191"/>
      <c r="O325" s="192">
        <v>3.3399999999999999E-18</v>
      </c>
      <c r="P325" s="191">
        <v>25</v>
      </c>
      <c r="Q325" s="191"/>
      <c r="R325" s="191"/>
      <c r="S325" s="191"/>
      <c r="T325" s="191"/>
      <c r="U325" s="191"/>
      <c r="V325" s="486"/>
      <c r="X325" s="516"/>
      <c r="Y325" s="191"/>
      <c r="Z325" s="191"/>
      <c r="AA325" s="191"/>
      <c r="AB325" s="191"/>
      <c r="AC325" s="486"/>
      <c r="AE325" s="516"/>
      <c r="AF325" s="191"/>
      <c r="AG325" s="191"/>
      <c r="AH325" s="191"/>
      <c r="AJ325" s="193"/>
      <c r="AK325" s="193"/>
      <c r="AL325" s="193"/>
      <c r="AM325" s="193"/>
      <c r="AN325" s="193"/>
      <c r="AO325" s="193"/>
      <c r="AP325" s="193"/>
      <c r="AQ325" s="193"/>
      <c r="AR325" s="193"/>
      <c r="AT325" s="526"/>
      <c r="AU325" s="193"/>
      <c r="AV325" s="193"/>
      <c r="AW325" s="193"/>
      <c r="AX325" s="193"/>
      <c r="AY325" s="193"/>
      <c r="AZ325" s="193"/>
      <c r="BA325" s="193"/>
      <c r="BC325" s="191"/>
      <c r="BD325" s="486"/>
      <c r="BE325" s="486"/>
      <c r="BF325" s="486"/>
      <c r="BG325" s="486"/>
      <c r="BH325" s="486"/>
      <c r="BI325" s="486"/>
      <c r="BK325" s="516"/>
      <c r="BL325" s="486"/>
      <c r="BN325" s="193"/>
      <c r="BO325" s="193"/>
      <c r="BP325" s="193"/>
    </row>
    <row r="326" spans="1:68">
      <c r="A326" s="191"/>
      <c r="B326" s="191"/>
      <c r="C326" s="486"/>
      <c r="D326" s="191"/>
      <c r="E326" s="728"/>
      <c r="F326" s="191"/>
      <c r="G326" s="191"/>
      <c r="H326" s="191"/>
      <c r="I326" s="191"/>
      <c r="J326" s="191"/>
      <c r="K326" s="191"/>
      <c r="L326" s="191"/>
      <c r="M326" s="191"/>
      <c r="N326" s="191"/>
      <c r="O326" s="192" t="s">
        <v>1354</v>
      </c>
      <c r="P326" s="191"/>
      <c r="Q326" s="191"/>
      <c r="R326" s="191"/>
      <c r="S326" s="191"/>
      <c r="T326" s="191"/>
      <c r="U326" s="191"/>
      <c r="V326" s="486"/>
      <c r="X326" s="516"/>
      <c r="Y326" s="191"/>
      <c r="Z326" s="191"/>
      <c r="AA326" s="191"/>
      <c r="AB326" s="191"/>
      <c r="AC326" s="486"/>
      <c r="AE326" s="516"/>
      <c r="AF326" s="191"/>
      <c r="AG326" s="191"/>
      <c r="AH326" s="191"/>
      <c r="AJ326" s="193"/>
      <c r="AK326" s="193"/>
      <c r="AL326" s="193"/>
      <c r="AM326" s="193"/>
      <c r="AN326" s="193"/>
      <c r="AO326" s="193"/>
      <c r="AP326" s="193"/>
      <c r="AQ326" s="193"/>
      <c r="AR326" s="193"/>
      <c r="AT326" s="526"/>
      <c r="AU326" s="193"/>
      <c r="AV326" s="193"/>
      <c r="AW326" s="193"/>
      <c r="AX326" s="193"/>
      <c r="AY326" s="193"/>
      <c r="AZ326" s="193"/>
      <c r="BA326" s="193"/>
      <c r="BC326" s="191"/>
      <c r="BD326" s="486"/>
      <c r="BE326" s="486"/>
      <c r="BF326" s="486"/>
      <c r="BG326" s="486"/>
      <c r="BH326" s="486"/>
      <c r="BI326" s="486"/>
      <c r="BK326" s="516"/>
      <c r="BL326" s="486"/>
      <c r="BN326" s="193"/>
      <c r="BO326" s="193"/>
      <c r="BP326" s="193"/>
    </row>
    <row r="327" spans="1:68" ht="15.75">
      <c r="A327" s="149">
        <v>203</v>
      </c>
      <c r="B327" s="150" t="s">
        <v>59</v>
      </c>
      <c r="C327" s="151" t="s">
        <v>996</v>
      </c>
      <c r="D327" s="150"/>
      <c r="E327" s="767"/>
      <c r="F327" s="152" t="s">
        <v>1996</v>
      </c>
      <c r="G327" s="152" t="s">
        <v>541</v>
      </c>
      <c r="H327" s="152" t="s">
        <v>541</v>
      </c>
      <c r="I327" s="150" t="s">
        <v>541</v>
      </c>
      <c r="J327" s="152">
        <v>88.105999999999995</v>
      </c>
      <c r="K327" s="156">
        <v>86200</v>
      </c>
      <c r="L327" s="154">
        <v>9.5</v>
      </c>
      <c r="M327" s="156">
        <v>5790.1904270000005</v>
      </c>
      <c r="N327" s="154">
        <v>10</v>
      </c>
      <c r="O327" s="156">
        <v>12.72</v>
      </c>
      <c r="P327" s="154">
        <v>20</v>
      </c>
      <c r="Q327" s="156"/>
      <c r="R327" s="156"/>
      <c r="S327" s="153">
        <v>0.70289215565024721</v>
      </c>
      <c r="T327" s="153">
        <f>10^S327</f>
        <v>5.0453599522860451</v>
      </c>
      <c r="U327" s="150">
        <v>0.36099999999999999</v>
      </c>
      <c r="V327" s="520">
        <f>10^U327</f>
        <v>2.2961486481123621</v>
      </c>
      <c r="W327" s="684"/>
      <c r="X327" s="512"/>
      <c r="Y327" s="156"/>
      <c r="Z327" s="156"/>
      <c r="AA327" s="156"/>
      <c r="AB327" s="156"/>
      <c r="AC327" s="501"/>
      <c r="AD327" s="690"/>
      <c r="AE327" s="512">
        <v>0.9</v>
      </c>
      <c r="AF327" s="150"/>
      <c r="AG327" s="156"/>
      <c r="AH327" s="156"/>
      <c r="AI327" s="690"/>
      <c r="AJ327" s="153"/>
      <c r="AK327" s="153"/>
      <c r="AL327" s="153"/>
      <c r="AM327" s="153"/>
      <c r="AN327" s="153"/>
      <c r="AO327" s="153"/>
      <c r="AP327" s="153"/>
      <c r="AQ327" s="153"/>
      <c r="AR327" s="153"/>
      <c r="AS327" s="810"/>
      <c r="AT327" s="173"/>
      <c r="AU327" s="153"/>
      <c r="AV327" s="156"/>
      <c r="AW327" s="153"/>
      <c r="AX327" s="156"/>
      <c r="AY327" s="153"/>
      <c r="AZ327" s="153"/>
      <c r="BA327" s="156"/>
      <c r="BB327" s="684"/>
      <c r="BC327" s="157"/>
      <c r="BD327" s="521"/>
      <c r="BE327" s="521"/>
      <c r="BF327" s="521"/>
      <c r="BG327" s="521"/>
      <c r="BH327" s="521"/>
      <c r="BI327" s="521"/>
      <c r="BJ327" s="795"/>
      <c r="BK327" s="523"/>
      <c r="BL327" s="521"/>
      <c r="BN327" s="193"/>
      <c r="BO327" s="193"/>
      <c r="BP327" s="193"/>
    </row>
    <row r="328" spans="1:68" ht="127.5">
      <c r="A328" s="149"/>
      <c r="B328" s="158"/>
      <c r="C328" s="151"/>
      <c r="D328" s="150"/>
      <c r="E328" s="767"/>
      <c r="F328" s="159"/>
      <c r="G328" s="159"/>
      <c r="H328" s="159"/>
      <c r="I328" s="170" t="s">
        <v>1001</v>
      </c>
      <c r="J328" s="159" t="s">
        <v>708</v>
      </c>
      <c r="K328" s="160" t="s">
        <v>997</v>
      </c>
      <c r="L328" s="160"/>
      <c r="M328" s="160" t="s">
        <v>998</v>
      </c>
      <c r="N328" s="160"/>
      <c r="O328" s="155" t="s">
        <v>654</v>
      </c>
      <c r="P328" s="160"/>
      <c r="Q328" s="158" t="s">
        <v>715</v>
      </c>
      <c r="R328" s="158"/>
      <c r="S328" s="160" t="s">
        <v>999</v>
      </c>
      <c r="T328" s="153"/>
      <c r="U328" s="160" t="s">
        <v>1000</v>
      </c>
      <c r="V328" s="520"/>
      <c r="W328" s="695"/>
      <c r="X328" s="159"/>
      <c r="Y328" s="158"/>
      <c r="Z328" s="158"/>
      <c r="AA328" s="158"/>
      <c r="AB328" s="158"/>
      <c r="AC328" s="502"/>
      <c r="AD328" s="695"/>
      <c r="AE328" s="159" t="s">
        <v>716</v>
      </c>
      <c r="AF328" s="158"/>
      <c r="AG328" s="158"/>
      <c r="AH328" s="158"/>
      <c r="AI328" s="695"/>
      <c r="AJ328" s="161"/>
      <c r="AK328" s="161"/>
      <c r="AL328" s="161"/>
      <c r="AM328" s="161"/>
      <c r="AN328" s="161"/>
      <c r="AO328" s="161"/>
      <c r="AP328" s="161"/>
      <c r="AQ328" s="161"/>
      <c r="AR328" s="161"/>
      <c r="AS328" s="678"/>
      <c r="AT328" s="185"/>
      <c r="AU328" s="162"/>
      <c r="AV328" s="163"/>
      <c r="AW328" s="164"/>
      <c r="AX328" s="163"/>
      <c r="AY328" s="162"/>
      <c r="AZ328" s="164"/>
      <c r="BA328" s="163"/>
      <c r="BB328" s="695"/>
      <c r="BC328" s="165"/>
      <c r="BD328" s="522"/>
      <c r="BE328" s="522"/>
      <c r="BF328" s="522"/>
      <c r="BG328" s="522"/>
      <c r="BH328" s="522"/>
      <c r="BI328" s="522"/>
      <c r="BJ328" s="806"/>
      <c r="BK328" s="524"/>
      <c r="BL328" s="522"/>
      <c r="BN328" s="193"/>
      <c r="BO328" s="193"/>
      <c r="BP328" s="193"/>
    </row>
    <row r="329" spans="1:68" ht="15.75">
      <c r="A329" s="149">
        <v>204</v>
      </c>
      <c r="B329" s="150" t="s">
        <v>75</v>
      </c>
      <c r="C329" s="151" t="s">
        <v>1002</v>
      </c>
      <c r="D329" s="150"/>
      <c r="E329" s="767"/>
      <c r="F329" s="152" t="s">
        <v>1996</v>
      </c>
      <c r="G329" s="152" t="s">
        <v>541</v>
      </c>
      <c r="H329" s="152" t="s">
        <v>541</v>
      </c>
      <c r="I329" s="150" t="s">
        <v>541</v>
      </c>
      <c r="J329" s="152">
        <v>74.120999999999995</v>
      </c>
      <c r="K329" s="156">
        <v>91000</v>
      </c>
      <c r="L329" s="154">
        <v>10</v>
      </c>
      <c r="M329" s="156">
        <v>38967.087079999998</v>
      </c>
      <c r="N329" s="154">
        <v>10</v>
      </c>
      <c r="O329" s="156">
        <v>46.60173399</v>
      </c>
      <c r="P329" s="154">
        <v>10</v>
      </c>
      <c r="Q329" s="156"/>
      <c r="R329" s="156"/>
      <c r="S329" s="153">
        <v>0.87989194853117503</v>
      </c>
      <c r="T329" s="153">
        <f>10^S329</f>
        <v>7.5838886614832992</v>
      </c>
      <c r="U329" s="153">
        <f>LOG(0.411*10^S329)</f>
        <v>0.4937337704072442</v>
      </c>
      <c r="V329" s="520">
        <f>10^U329</f>
        <v>3.1169782398696362</v>
      </c>
      <c r="W329" s="684"/>
      <c r="X329" s="512"/>
      <c r="Y329" s="156"/>
      <c r="Z329" s="156"/>
      <c r="AA329" s="156"/>
      <c r="AB329" s="156"/>
      <c r="AC329" s="501"/>
      <c r="AD329" s="690"/>
      <c r="AE329" s="512">
        <v>0.2</v>
      </c>
      <c r="AF329" s="150"/>
      <c r="AG329" s="156"/>
      <c r="AH329" s="156"/>
      <c r="AI329" s="690"/>
      <c r="AJ329" s="153"/>
      <c r="AK329" s="153"/>
      <c r="AL329" s="153"/>
      <c r="AM329" s="153"/>
      <c r="AN329" s="153"/>
      <c r="AO329" s="153"/>
      <c r="AP329" s="153"/>
      <c r="AQ329" s="153"/>
      <c r="AR329" s="153"/>
      <c r="AS329" s="810"/>
      <c r="AT329" s="173"/>
      <c r="AU329" s="153"/>
      <c r="AV329" s="156"/>
      <c r="AW329" s="153"/>
      <c r="AX329" s="156"/>
      <c r="AY329" s="153"/>
      <c r="AZ329" s="153"/>
      <c r="BA329" s="156"/>
      <c r="BB329" s="684"/>
      <c r="BC329" s="157"/>
      <c r="BD329" s="521"/>
      <c r="BE329" s="521"/>
      <c r="BF329" s="521"/>
      <c r="BG329" s="521"/>
      <c r="BH329" s="521"/>
      <c r="BI329" s="521"/>
      <c r="BJ329" s="795"/>
      <c r="BK329" s="523"/>
      <c r="BL329" s="521"/>
      <c r="BN329" s="193"/>
      <c r="BO329" s="193"/>
      <c r="BP329" s="193"/>
    </row>
    <row r="330" spans="1:68" s="772" customFormat="1" ht="153">
      <c r="A330" s="681"/>
      <c r="B330" s="692"/>
      <c r="C330" s="683"/>
      <c r="D330" s="682"/>
      <c r="E330" s="767"/>
      <c r="F330" s="693"/>
      <c r="G330" s="693"/>
      <c r="H330" s="693"/>
      <c r="I330" s="705" t="s">
        <v>1006</v>
      </c>
      <c r="J330" s="693" t="s">
        <v>708</v>
      </c>
      <c r="K330" s="694" t="s">
        <v>1003</v>
      </c>
      <c r="L330" s="694"/>
      <c r="M330" s="694" t="s">
        <v>1004</v>
      </c>
      <c r="N330" s="694"/>
      <c r="O330" s="688" t="s">
        <v>654</v>
      </c>
      <c r="P330" s="694"/>
      <c r="Q330" s="692" t="s">
        <v>715</v>
      </c>
      <c r="R330" s="692"/>
      <c r="S330" s="694" t="s">
        <v>1005</v>
      </c>
      <c r="T330" s="686"/>
      <c r="U330" s="694" t="s">
        <v>940</v>
      </c>
      <c r="V330" s="790"/>
      <c r="W330" s="695"/>
      <c r="X330" s="693"/>
      <c r="Y330" s="692"/>
      <c r="Z330" s="692"/>
      <c r="AA330" s="692"/>
      <c r="AB330" s="692"/>
      <c r="AC330" s="776"/>
      <c r="AD330" s="695"/>
      <c r="AE330" s="693" t="s">
        <v>716</v>
      </c>
      <c r="AF330" s="692"/>
      <c r="AG330" s="692"/>
      <c r="AH330" s="692"/>
      <c r="AI330" s="695"/>
      <c r="AJ330" s="696"/>
      <c r="AK330" s="696"/>
      <c r="AL330" s="696"/>
      <c r="AM330" s="696"/>
      <c r="AN330" s="696"/>
      <c r="AO330" s="696"/>
      <c r="AP330" s="696"/>
      <c r="AQ330" s="696"/>
      <c r="AR330" s="696"/>
      <c r="AS330" s="678"/>
      <c r="AT330" s="719"/>
      <c r="AU330" s="697"/>
      <c r="AV330" s="698"/>
      <c r="AW330" s="699"/>
      <c r="AX330" s="698"/>
      <c r="AY330" s="697"/>
      <c r="AZ330" s="699"/>
      <c r="BA330" s="698"/>
      <c r="BB330" s="695"/>
      <c r="BC330" s="700"/>
      <c r="BD330" s="800"/>
      <c r="BE330" s="800"/>
      <c r="BF330" s="800"/>
      <c r="BG330" s="800"/>
      <c r="BH330" s="800"/>
      <c r="BI330" s="800"/>
      <c r="BJ330" s="806"/>
      <c r="BK330" s="804"/>
      <c r="BL330" s="800"/>
      <c r="BM330" s="802"/>
      <c r="BN330" s="725"/>
      <c r="BO330" s="725"/>
      <c r="BP330" s="725"/>
    </row>
    <row r="331" spans="1:68" s="772" customFormat="1" ht="15.75">
      <c r="A331" s="681">
        <v>205</v>
      </c>
      <c r="B331" s="682" t="s">
        <v>337</v>
      </c>
      <c r="C331" s="683" t="s">
        <v>1038</v>
      </c>
      <c r="D331" s="682" t="s">
        <v>2545</v>
      </c>
      <c r="E331" s="767"/>
      <c r="F331" s="685" t="s">
        <v>1996</v>
      </c>
      <c r="G331" s="685" t="s">
        <v>1997</v>
      </c>
      <c r="H331" s="685" t="s">
        <v>541</v>
      </c>
      <c r="I331" s="682" t="s">
        <v>541</v>
      </c>
      <c r="J331" s="626">
        <v>92.524000000000001</v>
      </c>
      <c r="K331" s="626">
        <v>65900</v>
      </c>
      <c r="L331" s="626">
        <v>25</v>
      </c>
      <c r="M331" s="626">
        <v>2191.8197368421052</v>
      </c>
      <c r="N331" s="626">
        <v>25</v>
      </c>
      <c r="O331" s="626">
        <v>3.375</v>
      </c>
      <c r="P331" s="626">
        <v>25</v>
      </c>
      <c r="Q331" s="626" t="s">
        <v>541</v>
      </c>
      <c r="R331" s="689" t="s">
        <v>541</v>
      </c>
      <c r="S331" s="626">
        <v>0.45</v>
      </c>
      <c r="T331" s="686">
        <f>10^S331</f>
        <v>2.8183829312644542</v>
      </c>
      <c r="U331" s="626">
        <v>2.09</v>
      </c>
      <c r="V331" s="686">
        <f>10^U331</f>
        <v>123.02687708123821</v>
      </c>
      <c r="W331" s="787"/>
      <c r="X331" s="752">
        <v>1E-3</v>
      </c>
      <c r="Y331" s="752">
        <v>1.3999999999999999E-4</v>
      </c>
      <c r="Z331" s="689">
        <f>Y331</f>
        <v>1.3999999999999999E-4</v>
      </c>
      <c r="AA331" s="752">
        <v>2.3E-2</v>
      </c>
      <c r="AB331" s="752">
        <v>0.08</v>
      </c>
      <c r="AC331" s="775">
        <f>AB331</f>
        <v>0.08</v>
      </c>
      <c r="AD331" s="690"/>
      <c r="AE331" s="780"/>
      <c r="AF331" s="689"/>
      <c r="AG331" s="689"/>
      <c r="AH331" s="689"/>
      <c r="AI331" s="690"/>
      <c r="AJ331" s="686">
        <v>5.3499999999999997E-3</v>
      </c>
      <c r="AK331" s="686">
        <v>5.3499999999999997E-3</v>
      </c>
      <c r="AL331" s="686">
        <v>5.3499999999999997E-3</v>
      </c>
      <c r="AM331" s="686">
        <v>2.6099999999999999E-3</v>
      </c>
      <c r="AN331" s="686">
        <v>2.6099999999999999E-3</v>
      </c>
      <c r="AO331" s="686">
        <v>2.6099999999999999E-3</v>
      </c>
      <c r="AP331" s="686">
        <v>2.6099999999999999E-3</v>
      </c>
      <c r="AQ331" s="686">
        <v>2.6099999999999999E-3</v>
      </c>
      <c r="AR331" s="686">
        <v>2.6099999999999999E-3</v>
      </c>
      <c r="AS331" s="810"/>
      <c r="AT331" s="709"/>
      <c r="AU331" s="686"/>
      <c r="AV331" s="689"/>
      <c r="AW331" s="686"/>
      <c r="AX331" s="689"/>
      <c r="AY331" s="686"/>
      <c r="AZ331" s="686"/>
      <c r="BA331" s="689"/>
      <c r="BB331" s="684"/>
      <c r="BC331" s="691"/>
      <c r="BD331" s="799"/>
      <c r="BE331" s="799"/>
      <c r="BF331" s="799"/>
      <c r="BG331" s="799"/>
      <c r="BH331" s="799"/>
      <c r="BI331" s="799"/>
      <c r="BJ331" s="795"/>
      <c r="BK331" s="803"/>
      <c r="BL331" s="799"/>
      <c r="BM331" s="802"/>
      <c r="BN331" s="870"/>
      <c r="BO331" s="870">
        <v>0.25</v>
      </c>
      <c r="BP331" s="870">
        <v>1</v>
      </c>
    </row>
    <row r="332" spans="1:68" s="772" customFormat="1" ht="105">
      <c r="A332" s="681"/>
      <c r="B332" s="692"/>
      <c r="C332" s="683"/>
      <c r="D332" s="682"/>
      <c r="E332" s="767"/>
      <c r="F332" s="693"/>
      <c r="G332" s="693"/>
      <c r="H332" s="693"/>
      <c r="I332" s="692"/>
      <c r="J332" s="929" t="s">
        <v>2211</v>
      </c>
      <c r="K332" s="888" t="s">
        <v>2284</v>
      </c>
      <c r="L332" s="888"/>
      <c r="M332" s="888" t="s">
        <v>2285</v>
      </c>
      <c r="N332" s="888"/>
      <c r="O332" s="888" t="s">
        <v>2286</v>
      </c>
      <c r="P332" s="888"/>
      <c r="Q332" s="888"/>
      <c r="R332" s="692"/>
      <c r="S332" s="888" t="s">
        <v>2287</v>
      </c>
      <c r="T332" s="686"/>
      <c r="U332" s="888" t="s">
        <v>2288</v>
      </c>
      <c r="V332" s="686" t="s">
        <v>2289</v>
      </c>
      <c r="W332" s="788"/>
      <c r="X332" s="889" t="s">
        <v>2290</v>
      </c>
      <c r="Y332" s="889" t="s">
        <v>2291</v>
      </c>
      <c r="Z332" s="692"/>
      <c r="AA332" s="889" t="s">
        <v>2292</v>
      </c>
      <c r="AB332" s="889" t="s">
        <v>2292</v>
      </c>
      <c r="AC332" s="776"/>
      <c r="AD332" s="695"/>
      <c r="AE332" s="693"/>
      <c r="AF332" s="692"/>
      <c r="AG332" s="692"/>
      <c r="AH332" s="692"/>
      <c r="AI332" s="695"/>
      <c r="AJ332" s="696" t="s">
        <v>2293</v>
      </c>
      <c r="AK332" s="696" t="s">
        <v>2293</v>
      </c>
      <c r="AL332" s="696" t="s">
        <v>2293</v>
      </c>
      <c r="AM332" s="696" t="s">
        <v>2293</v>
      </c>
      <c r="AN332" s="696" t="s">
        <v>2293</v>
      </c>
      <c r="AO332" s="696" t="s">
        <v>2293</v>
      </c>
      <c r="AP332" s="696" t="s">
        <v>2293</v>
      </c>
      <c r="AQ332" s="696" t="s">
        <v>2293</v>
      </c>
      <c r="AR332" s="696" t="s">
        <v>2293</v>
      </c>
      <c r="AS332" s="678"/>
      <c r="AT332" s="719"/>
      <c r="AU332" s="697"/>
      <c r="AV332" s="698"/>
      <c r="AW332" s="699"/>
      <c r="AX332" s="698"/>
      <c r="AY332" s="697"/>
      <c r="AZ332" s="699"/>
      <c r="BA332" s="698"/>
      <c r="BB332" s="695"/>
      <c r="BC332" s="691" t="s">
        <v>2220</v>
      </c>
      <c r="BD332" s="691" t="s">
        <v>2220</v>
      </c>
      <c r="BE332" s="691" t="s">
        <v>2220</v>
      </c>
      <c r="BF332" s="691" t="s">
        <v>2220</v>
      </c>
      <c r="BG332" s="691" t="s">
        <v>2220</v>
      </c>
      <c r="BH332" s="691" t="s">
        <v>2220</v>
      </c>
      <c r="BI332" s="691" t="s">
        <v>2220</v>
      </c>
      <c r="BJ332" s="806"/>
      <c r="BK332" s="804"/>
      <c r="BL332" s="800"/>
      <c r="BM332" s="802"/>
      <c r="BN332" s="870" t="s">
        <v>2220</v>
      </c>
      <c r="BO332" s="874" t="s">
        <v>2208</v>
      </c>
      <c r="BP332" s="874" t="s">
        <v>2208</v>
      </c>
    </row>
    <row r="333" spans="1:68" s="772" customFormat="1" ht="15.75">
      <c r="A333" s="681">
        <v>207</v>
      </c>
      <c r="B333" s="682" t="s">
        <v>418</v>
      </c>
      <c r="C333" s="683" t="s">
        <v>685</v>
      </c>
      <c r="D333" s="682" t="s">
        <v>2546</v>
      </c>
      <c r="E333" s="767"/>
      <c r="F333" s="709" t="s">
        <v>1996</v>
      </c>
      <c r="G333" s="685" t="s">
        <v>541</v>
      </c>
      <c r="H333" s="685" t="s">
        <v>541</v>
      </c>
      <c r="I333" s="682" t="s">
        <v>541</v>
      </c>
      <c r="J333" s="709">
        <v>215.892</v>
      </c>
      <c r="K333" s="679">
        <v>2.4</v>
      </c>
      <c r="L333" s="702">
        <v>22</v>
      </c>
      <c r="M333" s="679">
        <v>13.982849999999999</v>
      </c>
      <c r="N333" s="702">
        <v>20</v>
      </c>
      <c r="O333" s="689">
        <v>99</v>
      </c>
      <c r="P333" s="687">
        <v>20</v>
      </c>
      <c r="Q333" s="689">
        <v>9.9999999999999995E-7</v>
      </c>
      <c r="R333" s="689"/>
      <c r="S333" s="686">
        <v>4.6497999999999999</v>
      </c>
      <c r="T333" s="686">
        <f>10^S333</f>
        <v>44647.793411299732</v>
      </c>
      <c r="U333" s="686">
        <v>3.9163000000000001</v>
      </c>
      <c r="V333" s="790">
        <f>10^U333</f>
        <v>8247.0760612707927</v>
      </c>
      <c r="W333" s="787"/>
      <c r="X333" s="780"/>
      <c r="Y333" s="689"/>
      <c r="Z333" s="689"/>
      <c r="AA333" s="689"/>
      <c r="AB333" s="689"/>
      <c r="AC333" s="775"/>
      <c r="AD333" s="690"/>
      <c r="AE333" s="780">
        <v>4.0999999999999999E-4</v>
      </c>
      <c r="AF333" s="682"/>
      <c r="AG333" s="689"/>
      <c r="AH333" s="689"/>
      <c r="AI333" s="690"/>
      <c r="AJ333" s="686"/>
      <c r="AK333" s="686"/>
      <c r="AL333" s="686"/>
      <c r="AM333" s="686"/>
      <c r="AN333" s="686"/>
      <c r="AO333" s="686"/>
      <c r="AP333" s="686"/>
      <c r="AQ333" s="686"/>
      <c r="AR333" s="686"/>
      <c r="AS333" s="810"/>
      <c r="AT333" s="709"/>
      <c r="AU333" s="686"/>
      <c r="AV333" s="689"/>
      <c r="AW333" s="686"/>
      <c r="AX333" s="689"/>
      <c r="AY333" s="686"/>
      <c r="AZ333" s="686"/>
      <c r="BA333" s="689"/>
      <c r="BB333" s="684"/>
      <c r="BC333" s="691"/>
      <c r="BD333" s="799"/>
      <c r="BE333" s="799"/>
      <c r="BF333" s="799"/>
      <c r="BG333" s="799"/>
      <c r="BH333" s="799"/>
      <c r="BI333" s="799"/>
      <c r="BJ333" s="795"/>
      <c r="BK333" s="803"/>
      <c r="BL333" s="799"/>
      <c r="BM333" s="802"/>
      <c r="BN333" s="725"/>
      <c r="BO333" s="725"/>
      <c r="BP333" s="725"/>
    </row>
    <row r="334" spans="1:68" s="772" customFormat="1" ht="242.25">
      <c r="A334" s="681"/>
      <c r="B334" s="692"/>
      <c r="C334" s="683"/>
      <c r="D334" s="682"/>
      <c r="E334" s="767"/>
      <c r="F334" s="693"/>
      <c r="G334" s="693"/>
      <c r="H334" s="693"/>
      <c r="I334" s="692" t="s">
        <v>1051</v>
      </c>
      <c r="J334" s="693" t="s">
        <v>708</v>
      </c>
      <c r="K334" s="698" t="s">
        <v>1047</v>
      </c>
      <c r="L334" s="704"/>
      <c r="M334" s="694" t="s">
        <v>1048</v>
      </c>
      <c r="N334" s="694"/>
      <c r="O334" s="688" t="s">
        <v>654</v>
      </c>
      <c r="P334" s="694"/>
      <c r="Q334" s="694" t="s">
        <v>658</v>
      </c>
      <c r="R334" s="694"/>
      <c r="S334" s="694" t="s">
        <v>1049</v>
      </c>
      <c r="T334" s="686"/>
      <c r="U334" s="694" t="s">
        <v>1050</v>
      </c>
      <c r="V334" s="790"/>
      <c r="W334" s="788"/>
      <c r="X334" s="693"/>
      <c r="Y334" s="692"/>
      <c r="Z334" s="692"/>
      <c r="AA334" s="692"/>
      <c r="AB334" s="692"/>
      <c r="AC334" s="776"/>
      <c r="AD334" s="695"/>
      <c r="AE334" s="693" t="s">
        <v>1052</v>
      </c>
      <c r="AF334" s="692"/>
      <c r="AG334" s="692"/>
      <c r="AH334" s="692"/>
      <c r="AI334" s="695"/>
      <c r="AJ334" s="696"/>
      <c r="AK334" s="696"/>
      <c r="AL334" s="696"/>
      <c r="AM334" s="696"/>
      <c r="AN334" s="696"/>
      <c r="AO334" s="696"/>
      <c r="AP334" s="696"/>
      <c r="AQ334" s="696"/>
      <c r="AR334" s="696"/>
      <c r="AS334" s="678"/>
      <c r="AT334" s="719"/>
      <c r="AU334" s="697"/>
      <c r="AV334" s="698"/>
      <c r="AW334" s="699"/>
      <c r="AX334" s="698"/>
      <c r="AY334" s="697"/>
      <c r="AZ334" s="699"/>
      <c r="BA334" s="698"/>
      <c r="BB334" s="695"/>
      <c r="BC334" s="700"/>
      <c r="BD334" s="800"/>
      <c r="BE334" s="800"/>
      <c r="BF334" s="800"/>
      <c r="BG334" s="800"/>
      <c r="BH334" s="800"/>
      <c r="BI334" s="800"/>
      <c r="BJ334" s="806"/>
      <c r="BK334" s="804"/>
      <c r="BL334" s="800"/>
      <c r="BM334" s="802"/>
      <c r="BN334" s="725"/>
      <c r="BO334" s="725"/>
      <c r="BP334" s="725"/>
    </row>
    <row r="335" spans="1:68" s="772" customFormat="1" ht="15">
      <c r="A335" s="681">
        <v>208</v>
      </c>
      <c r="B335" s="682" t="s">
        <v>419</v>
      </c>
      <c r="C335" s="599" t="s">
        <v>541</v>
      </c>
      <c r="D335" s="768"/>
      <c r="E335" s="766"/>
      <c r="F335" s="685" t="s">
        <v>1996</v>
      </c>
      <c r="G335" s="685" t="s">
        <v>541</v>
      </c>
      <c r="H335" s="685" t="s">
        <v>541</v>
      </c>
      <c r="I335" s="682" t="s">
        <v>541</v>
      </c>
      <c r="J335" s="685">
        <v>150</v>
      </c>
      <c r="K335" s="689">
        <v>1000000</v>
      </c>
      <c r="L335" s="687" t="s">
        <v>541</v>
      </c>
      <c r="M335" s="710">
        <v>2.6099999999999999E-3</v>
      </c>
      <c r="N335" s="702" t="s">
        <v>541</v>
      </c>
      <c r="O335" s="710">
        <v>3.9200000000000002E-7</v>
      </c>
      <c r="P335" s="702">
        <v>20</v>
      </c>
      <c r="Q335" s="710"/>
      <c r="R335" s="710"/>
      <c r="S335" s="701">
        <v>-0.73</v>
      </c>
      <c r="T335" s="686">
        <f>10^S335</f>
        <v>0.18620871366628672</v>
      </c>
      <c r="U335" s="701">
        <v>1</v>
      </c>
      <c r="V335" s="790">
        <f>10^U335</f>
        <v>10</v>
      </c>
      <c r="W335" s="787"/>
      <c r="X335" s="712"/>
      <c r="Y335" s="679"/>
      <c r="Z335" s="679"/>
      <c r="AA335" s="679"/>
      <c r="AB335" s="679"/>
      <c r="AC335" s="707"/>
      <c r="AD335" s="787"/>
      <c r="AE335" s="712">
        <v>8.3000000000000007</v>
      </c>
      <c r="AF335" s="679">
        <v>29</v>
      </c>
      <c r="AG335" s="682"/>
      <c r="AH335" s="682"/>
      <c r="AI335" s="684"/>
      <c r="AJ335" s="686"/>
      <c r="AK335" s="686"/>
      <c r="AL335" s="686"/>
      <c r="AM335" s="686"/>
      <c r="AN335" s="686"/>
      <c r="AO335" s="686"/>
      <c r="AP335" s="686"/>
      <c r="AQ335" s="686"/>
      <c r="AR335" s="686"/>
      <c r="AS335" s="810"/>
      <c r="AT335" s="709"/>
      <c r="AU335" s="686"/>
      <c r="AV335" s="689"/>
      <c r="AW335" s="686"/>
      <c r="AX335" s="689"/>
      <c r="AY335" s="686"/>
      <c r="AZ335" s="686"/>
      <c r="BA335" s="689"/>
      <c r="BB335" s="684"/>
      <c r="BC335" s="691"/>
      <c r="BD335" s="799"/>
      <c r="BE335" s="799"/>
      <c r="BF335" s="799"/>
      <c r="BG335" s="799"/>
      <c r="BH335" s="799"/>
      <c r="BI335" s="799"/>
      <c r="BJ335" s="795"/>
      <c r="BK335" s="803"/>
      <c r="BL335" s="799"/>
      <c r="BM335" s="802"/>
      <c r="BN335" s="869"/>
      <c r="BO335" s="869"/>
      <c r="BP335" s="869"/>
    </row>
    <row r="336" spans="1:68" s="772" customFormat="1" ht="38.25">
      <c r="A336" s="681"/>
      <c r="B336" s="692"/>
      <c r="C336" s="683"/>
      <c r="D336" s="682"/>
      <c r="E336" s="767"/>
      <c r="F336" s="719"/>
      <c r="G336" s="719"/>
      <c r="H336" s="719"/>
      <c r="I336" s="705" t="s">
        <v>541</v>
      </c>
      <c r="J336" s="719" t="s">
        <v>1053</v>
      </c>
      <c r="K336" s="696" t="s">
        <v>1053</v>
      </c>
      <c r="L336" s="716"/>
      <c r="M336" s="696" t="s">
        <v>1053</v>
      </c>
      <c r="N336" s="716"/>
      <c r="O336" s="696" t="s">
        <v>1053</v>
      </c>
      <c r="P336" s="694"/>
      <c r="Q336" s="696"/>
      <c r="R336" s="696"/>
      <c r="S336" s="696" t="s">
        <v>1053</v>
      </c>
      <c r="T336" s="686"/>
      <c r="U336" s="696" t="s">
        <v>1053</v>
      </c>
      <c r="V336" s="790"/>
      <c r="W336" s="787"/>
      <c r="X336" s="719"/>
      <c r="Y336" s="696"/>
      <c r="Z336" s="696"/>
      <c r="AA336" s="696"/>
      <c r="AB336" s="696"/>
      <c r="AC336" s="774"/>
      <c r="AD336" s="678"/>
      <c r="AE336" s="719" t="s">
        <v>1053</v>
      </c>
      <c r="AF336" s="696" t="s">
        <v>1053</v>
      </c>
      <c r="AG336" s="692"/>
      <c r="AH336" s="682"/>
      <c r="AI336" s="684"/>
      <c r="AJ336" s="696"/>
      <c r="AK336" s="696"/>
      <c r="AL336" s="696"/>
      <c r="AM336" s="696"/>
      <c r="AN336" s="696"/>
      <c r="AO336" s="696"/>
      <c r="AP336" s="696"/>
      <c r="AQ336" s="696"/>
      <c r="AR336" s="696"/>
      <c r="AS336" s="678"/>
      <c r="AT336" s="719"/>
      <c r="AU336" s="697"/>
      <c r="AV336" s="698"/>
      <c r="AW336" s="699"/>
      <c r="AX336" s="698"/>
      <c r="AY336" s="697"/>
      <c r="AZ336" s="699"/>
      <c r="BA336" s="698"/>
      <c r="BB336" s="695"/>
      <c r="BC336" s="700"/>
      <c r="BD336" s="800"/>
      <c r="BE336" s="800"/>
      <c r="BF336" s="800"/>
      <c r="BG336" s="800"/>
      <c r="BH336" s="800"/>
      <c r="BI336" s="800"/>
      <c r="BJ336" s="806"/>
      <c r="BK336" s="804"/>
      <c r="BL336" s="800"/>
      <c r="BM336" s="802"/>
      <c r="BN336" s="869"/>
      <c r="BO336" s="869"/>
      <c r="BP336" s="869"/>
    </row>
    <row r="337" spans="1:68" s="772" customFormat="1">
      <c r="A337" s="681">
        <v>209</v>
      </c>
      <c r="B337" s="679" t="s">
        <v>420</v>
      </c>
      <c r="C337" s="718" t="s">
        <v>541</v>
      </c>
      <c r="D337" s="768"/>
      <c r="E337" s="766"/>
      <c r="F337" s="712" t="s">
        <v>1996</v>
      </c>
      <c r="G337" s="685" t="s">
        <v>541</v>
      </c>
      <c r="H337" s="685" t="s">
        <v>541</v>
      </c>
      <c r="I337" s="682" t="s">
        <v>541</v>
      </c>
      <c r="J337" s="712">
        <v>240</v>
      </c>
      <c r="K337" s="689">
        <v>1000000</v>
      </c>
      <c r="L337" s="687" t="s">
        <v>541</v>
      </c>
      <c r="M337" s="710">
        <v>6.9200000000000002E-4</v>
      </c>
      <c r="N337" s="702" t="s">
        <v>541</v>
      </c>
      <c r="O337" s="710">
        <v>1.66E-7</v>
      </c>
      <c r="P337" s="702">
        <v>20</v>
      </c>
      <c r="Q337" s="710"/>
      <c r="R337" s="710"/>
      <c r="S337" s="701">
        <v>1.8</v>
      </c>
      <c r="T337" s="686">
        <f>10^S337</f>
        <v>63.095734448019364</v>
      </c>
      <c r="U337" s="701">
        <v>1</v>
      </c>
      <c r="V337" s="790">
        <f>10^U337</f>
        <v>10</v>
      </c>
      <c r="W337" s="787"/>
      <c r="X337" s="712"/>
      <c r="Y337" s="679"/>
      <c r="Z337" s="679"/>
      <c r="AA337" s="679"/>
      <c r="AB337" s="679"/>
      <c r="AC337" s="707"/>
      <c r="AD337" s="787"/>
      <c r="AE337" s="712">
        <v>8.3000000000000007</v>
      </c>
      <c r="AF337" s="679">
        <v>29</v>
      </c>
      <c r="AG337" s="682"/>
      <c r="AH337" s="682"/>
      <c r="AI337" s="684"/>
      <c r="AJ337" s="686"/>
      <c r="AK337" s="686"/>
      <c r="AL337" s="686"/>
      <c r="AM337" s="686"/>
      <c r="AN337" s="686"/>
      <c r="AO337" s="686"/>
      <c r="AP337" s="686"/>
      <c r="AQ337" s="686"/>
      <c r="AR337" s="686"/>
      <c r="AS337" s="810"/>
      <c r="AT337" s="709"/>
      <c r="AU337" s="686"/>
      <c r="AV337" s="689"/>
      <c r="AW337" s="686"/>
      <c r="AX337" s="689"/>
      <c r="AY337" s="686"/>
      <c r="AZ337" s="686"/>
      <c r="BA337" s="689"/>
      <c r="BB337" s="684"/>
      <c r="BC337" s="691"/>
      <c r="BD337" s="799"/>
      <c r="BE337" s="799"/>
      <c r="BF337" s="799"/>
      <c r="BG337" s="799"/>
      <c r="BH337" s="799"/>
      <c r="BI337" s="799"/>
      <c r="BJ337" s="795"/>
      <c r="BK337" s="803"/>
      <c r="BL337" s="799"/>
      <c r="BM337" s="802"/>
      <c r="BN337" s="869"/>
      <c r="BO337" s="869"/>
      <c r="BP337" s="869"/>
    </row>
    <row r="338" spans="1:68" s="772" customFormat="1" ht="38.25">
      <c r="A338" s="681"/>
      <c r="B338" s="713"/>
      <c r="C338" s="707"/>
      <c r="D338" s="679"/>
      <c r="E338" s="766"/>
      <c r="F338" s="719"/>
      <c r="G338" s="719"/>
      <c r="H338" s="719"/>
      <c r="I338" s="705" t="s">
        <v>541</v>
      </c>
      <c r="J338" s="719" t="s">
        <v>1053</v>
      </c>
      <c r="K338" s="696" t="s">
        <v>1053</v>
      </c>
      <c r="L338" s="716"/>
      <c r="M338" s="696" t="s">
        <v>1053</v>
      </c>
      <c r="N338" s="716"/>
      <c r="O338" s="696" t="s">
        <v>1053</v>
      </c>
      <c r="P338" s="694"/>
      <c r="Q338" s="696"/>
      <c r="R338" s="696"/>
      <c r="S338" s="696" t="s">
        <v>1053</v>
      </c>
      <c r="T338" s="686"/>
      <c r="U338" s="696" t="s">
        <v>1053</v>
      </c>
      <c r="V338" s="790"/>
      <c r="W338" s="678"/>
      <c r="X338" s="719"/>
      <c r="Y338" s="696"/>
      <c r="Z338" s="696"/>
      <c r="AA338" s="696"/>
      <c r="AB338" s="696"/>
      <c r="AC338" s="774"/>
      <c r="AD338" s="678"/>
      <c r="AE338" s="719" t="s">
        <v>1053</v>
      </c>
      <c r="AF338" s="696" t="s">
        <v>1053</v>
      </c>
      <c r="AG338" s="713"/>
      <c r="AH338" s="713"/>
      <c r="AI338" s="714"/>
      <c r="AJ338" s="696"/>
      <c r="AK338" s="696"/>
      <c r="AL338" s="696"/>
      <c r="AM338" s="696"/>
      <c r="AN338" s="696"/>
      <c r="AO338" s="696"/>
      <c r="AP338" s="696"/>
      <c r="AQ338" s="696"/>
      <c r="AR338" s="696"/>
      <c r="AS338" s="678"/>
      <c r="AT338" s="719"/>
      <c r="AU338" s="697"/>
      <c r="AV338" s="698"/>
      <c r="AW338" s="699"/>
      <c r="AX338" s="698"/>
      <c r="AY338" s="697"/>
      <c r="AZ338" s="699"/>
      <c r="BA338" s="698"/>
      <c r="BB338" s="695"/>
      <c r="BC338" s="700"/>
      <c r="BD338" s="800"/>
      <c r="BE338" s="800"/>
      <c r="BF338" s="800"/>
      <c r="BG338" s="800"/>
      <c r="BH338" s="800"/>
      <c r="BI338" s="800"/>
      <c r="BJ338" s="806"/>
      <c r="BK338" s="804"/>
      <c r="BL338" s="800"/>
      <c r="BM338" s="802"/>
      <c r="BN338" s="869"/>
      <c r="BO338" s="869"/>
      <c r="BP338" s="869"/>
    </row>
    <row r="339" spans="1:68" s="772" customFormat="1">
      <c r="A339" s="681">
        <v>210</v>
      </c>
      <c r="B339" s="682" t="s">
        <v>421</v>
      </c>
      <c r="C339" s="718" t="s">
        <v>541</v>
      </c>
      <c r="D339" s="768"/>
      <c r="E339" s="766"/>
      <c r="F339" s="685" t="s">
        <v>1996</v>
      </c>
      <c r="G339" s="685" t="s">
        <v>541</v>
      </c>
      <c r="H339" s="685" t="s">
        <v>541</v>
      </c>
      <c r="I339" s="682" t="s">
        <v>541</v>
      </c>
      <c r="J339" s="685">
        <v>134</v>
      </c>
      <c r="K339" s="689">
        <v>1000000</v>
      </c>
      <c r="L339" s="687" t="s">
        <v>541</v>
      </c>
      <c r="M339" s="679">
        <v>8.3900000000000002E-2</v>
      </c>
      <c r="N339" s="702" t="s">
        <v>541</v>
      </c>
      <c r="O339" s="689">
        <v>1.1199999999999999E-5</v>
      </c>
      <c r="P339" s="687">
        <v>20</v>
      </c>
      <c r="Q339" s="689"/>
      <c r="R339" s="689"/>
      <c r="S339" s="686">
        <v>0.01</v>
      </c>
      <c r="T339" s="686">
        <f>10^S339</f>
        <v>1.0232929922807541</v>
      </c>
      <c r="U339" s="686">
        <v>0.1</v>
      </c>
      <c r="V339" s="790">
        <f>10^U339</f>
        <v>1.2589254117941673</v>
      </c>
      <c r="W339" s="787"/>
      <c r="X339" s="712"/>
      <c r="Y339" s="679"/>
      <c r="Z339" s="679"/>
      <c r="AA339" s="679"/>
      <c r="AB339" s="679"/>
      <c r="AC339" s="707"/>
      <c r="AD339" s="787"/>
      <c r="AE339" s="712">
        <v>8.3000000000000007</v>
      </c>
      <c r="AF339" s="679">
        <v>29</v>
      </c>
      <c r="AG339" s="682"/>
      <c r="AH339" s="682"/>
      <c r="AI339" s="684"/>
      <c r="AJ339" s="686"/>
      <c r="AK339" s="686"/>
      <c r="AL339" s="686"/>
      <c r="AM339" s="686"/>
      <c r="AN339" s="686"/>
      <c r="AO339" s="686"/>
      <c r="AP339" s="686"/>
      <c r="AQ339" s="686"/>
      <c r="AR339" s="686"/>
      <c r="AS339" s="810"/>
      <c r="AT339" s="709"/>
      <c r="AU339" s="686"/>
      <c r="AV339" s="689"/>
      <c r="AW339" s="686"/>
      <c r="AX339" s="689"/>
      <c r="AY339" s="686"/>
      <c r="AZ339" s="686"/>
      <c r="BA339" s="689"/>
      <c r="BB339" s="684"/>
      <c r="BC339" s="691"/>
      <c r="BD339" s="799"/>
      <c r="BE339" s="799"/>
      <c r="BF339" s="799"/>
      <c r="BG339" s="799"/>
      <c r="BH339" s="799"/>
      <c r="BI339" s="799"/>
      <c r="BJ339" s="795"/>
      <c r="BK339" s="803"/>
      <c r="BL339" s="799"/>
      <c r="BM339" s="802"/>
      <c r="BN339" s="869"/>
      <c r="BO339" s="869"/>
      <c r="BP339" s="869"/>
    </row>
    <row r="340" spans="1:68" s="772" customFormat="1" ht="38.25">
      <c r="A340" s="681"/>
      <c r="B340" s="692"/>
      <c r="C340" s="683"/>
      <c r="D340" s="682"/>
      <c r="E340" s="767"/>
      <c r="F340" s="719"/>
      <c r="G340" s="719"/>
      <c r="H340" s="719"/>
      <c r="I340" s="705" t="s">
        <v>541</v>
      </c>
      <c r="J340" s="719" t="s">
        <v>1053</v>
      </c>
      <c r="K340" s="696" t="s">
        <v>1053</v>
      </c>
      <c r="L340" s="716"/>
      <c r="M340" s="696" t="s">
        <v>1053</v>
      </c>
      <c r="N340" s="716"/>
      <c r="O340" s="696" t="s">
        <v>1053</v>
      </c>
      <c r="P340" s="694"/>
      <c r="Q340" s="694"/>
      <c r="R340" s="694"/>
      <c r="S340" s="696" t="s">
        <v>1053</v>
      </c>
      <c r="T340" s="686"/>
      <c r="U340" s="696" t="s">
        <v>1053</v>
      </c>
      <c r="V340" s="790"/>
      <c r="W340" s="787"/>
      <c r="X340" s="719"/>
      <c r="Y340" s="696"/>
      <c r="Z340" s="696"/>
      <c r="AA340" s="696"/>
      <c r="AB340" s="696"/>
      <c r="AC340" s="774"/>
      <c r="AD340" s="678"/>
      <c r="AE340" s="719" t="s">
        <v>1053</v>
      </c>
      <c r="AF340" s="696" t="s">
        <v>1053</v>
      </c>
      <c r="AG340" s="692"/>
      <c r="AH340" s="692"/>
      <c r="AI340" s="695"/>
      <c r="AJ340" s="696"/>
      <c r="AK340" s="696"/>
      <c r="AL340" s="696"/>
      <c r="AM340" s="696"/>
      <c r="AN340" s="696"/>
      <c r="AO340" s="696"/>
      <c r="AP340" s="696"/>
      <c r="AQ340" s="696"/>
      <c r="AR340" s="696"/>
      <c r="AS340" s="678"/>
      <c r="AT340" s="719"/>
      <c r="AU340" s="697"/>
      <c r="AV340" s="698"/>
      <c r="AW340" s="699"/>
      <c r="AX340" s="698"/>
      <c r="AY340" s="697"/>
      <c r="AZ340" s="699"/>
      <c r="BA340" s="698"/>
      <c r="BB340" s="695"/>
      <c r="BC340" s="700"/>
      <c r="BD340" s="800"/>
      <c r="BE340" s="800"/>
      <c r="BF340" s="800"/>
      <c r="BG340" s="800"/>
      <c r="BH340" s="800"/>
      <c r="BI340" s="800"/>
      <c r="BJ340" s="806"/>
      <c r="BK340" s="804"/>
      <c r="BL340" s="800"/>
      <c r="BM340" s="802"/>
      <c r="BN340" s="869"/>
      <c r="BO340" s="869"/>
      <c r="BP340" s="869"/>
    </row>
    <row r="341" spans="1:68" s="772" customFormat="1">
      <c r="A341" s="681">
        <v>211</v>
      </c>
      <c r="B341" s="682" t="s">
        <v>422</v>
      </c>
      <c r="C341" s="718" t="s">
        <v>541</v>
      </c>
      <c r="D341" s="768"/>
      <c r="E341" s="766"/>
      <c r="F341" s="685" t="s">
        <v>1996</v>
      </c>
      <c r="G341" s="685" t="s">
        <v>541</v>
      </c>
      <c r="H341" s="685" t="s">
        <v>541</v>
      </c>
      <c r="I341" s="682" t="s">
        <v>541</v>
      </c>
      <c r="J341" s="685">
        <v>180</v>
      </c>
      <c r="K341" s="689">
        <v>21000</v>
      </c>
      <c r="L341" s="687" t="s">
        <v>541</v>
      </c>
      <c r="M341" s="710">
        <v>1.9599999999999999E-4</v>
      </c>
      <c r="N341" s="702" t="s">
        <v>541</v>
      </c>
      <c r="O341" s="710">
        <v>1.68E-6</v>
      </c>
      <c r="P341" s="702">
        <v>20</v>
      </c>
      <c r="Q341" s="710"/>
      <c r="R341" s="710"/>
      <c r="S341" s="679">
        <v>2.71</v>
      </c>
      <c r="T341" s="686">
        <f>10^S341</f>
        <v>512.86138399136519</v>
      </c>
      <c r="U341" s="679">
        <v>1.2</v>
      </c>
      <c r="V341" s="790">
        <f>10^U341</f>
        <v>15.848931924611136</v>
      </c>
      <c r="W341" s="787"/>
      <c r="X341" s="712"/>
      <c r="Y341" s="679"/>
      <c r="Z341" s="679"/>
      <c r="AA341" s="679"/>
      <c r="AB341" s="679"/>
      <c r="AC341" s="707"/>
      <c r="AD341" s="787"/>
      <c r="AE341" s="712">
        <v>0.33</v>
      </c>
      <c r="AF341" s="679">
        <v>1.2</v>
      </c>
      <c r="AG341" s="682"/>
      <c r="AH341" s="682"/>
      <c r="AI341" s="684"/>
      <c r="AJ341" s="686"/>
      <c r="AK341" s="686"/>
      <c r="AL341" s="686"/>
      <c r="AM341" s="686"/>
      <c r="AN341" s="686"/>
      <c r="AO341" s="686"/>
      <c r="AP341" s="686"/>
      <c r="AQ341" s="686"/>
      <c r="AR341" s="686"/>
      <c r="AS341" s="810"/>
      <c r="AT341" s="709"/>
      <c r="AU341" s="686"/>
      <c r="AV341" s="689"/>
      <c r="AW341" s="686"/>
      <c r="AX341" s="689"/>
      <c r="AY341" s="686"/>
      <c r="AZ341" s="686"/>
      <c r="BA341" s="689"/>
      <c r="BB341" s="684"/>
      <c r="BC341" s="691"/>
      <c r="BD341" s="799"/>
      <c r="BE341" s="799"/>
      <c r="BF341" s="799"/>
      <c r="BG341" s="799"/>
      <c r="BH341" s="799"/>
      <c r="BI341" s="799"/>
      <c r="BJ341" s="795"/>
      <c r="BK341" s="803"/>
      <c r="BL341" s="799"/>
      <c r="BM341" s="802"/>
      <c r="BN341" s="869"/>
      <c r="BO341" s="869"/>
      <c r="BP341" s="869"/>
    </row>
    <row r="342" spans="1:68" s="772" customFormat="1" ht="38.25">
      <c r="A342" s="681"/>
      <c r="B342" s="705"/>
      <c r="C342" s="683"/>
      <c r="D342" s="682"/>
      <c r="E342" s="767"/>
      <c r="F342" s="719"/>
      <c r="G342" s="719"/>
      <c r="H342" s="719"/>
      <c r="I342" s="705" t="s">
        <v>541</v>
      </c>
      <c r="J342" s="719" t="s">
        <v>1053</v>
      </c>
      <c r="K342" s="696" t="s">
        <v>1053</v>
      </c>
      <c r="L342" s="716"/>
      <c r="M342" s="696" t="s">
        <v>1053</v>
      </c>
      <c r="N342" s="716"/>
      <c r="O342" s="696" t="s">
        <v>1053</v>
      </c>
      <c r="P342" s="694"/>
      <c r="Q342" s="698"/>
      <c r="R342" s="698"/>
      <c r="S342" s="696" t="s">
        <v>1053</v>
      </c>
      <c r="T342" s="686"/>
      <c r="U342" s="696" t="s">
        <v>1053</v>
      </c>
      <c r="V342" s="790"/>
      <c r="W342" s="787"/>
      <c r="X342" s="719"/>
      <c r="Y342" s="696"/>
      <c r="Z342" s="696"/>
      <c r="AA342" s="696"/>
      <c r="AB342" s="696"/>
      <c r="AC342" s="774"/>
      <c r="AD342" s="678"/>
      <c r="AE342" s="719" t="s">
        <v>1053</v>
      </c>
      <c r="AF342" s="696" t="s">
        <v>1053</v>
      </c>
      <c r="AG342" s="682"/>
      <c r="AH342" s="692"/>
      <c r="AI342" s="695"/>
      <c r="AJ342" s="696"/>
      <c r="AK342" s="696"/>
      <c r="AL342" s="696"/>
      <c r="AM342" s="696"/>
      <c r="AN342" s="696"/>
      <c r="AO342" s="696"/>
      <c r="AP342" s="696"/>
      <c r="AQ342" s="696"/>
      <c r="AR342" s="696"/>
      <c r="AS342" s="678"/>
      <c r="AT342" s="719"/>
      <c r="AU342" s="697"/>
      <c r="AV342" s="698"/>
      <c r="AW342" s="699"/>
      <c r="AX342" s="698"/>
      <c r="AY342" s="697"/>
      <c r="AZ342" s="699"/>
      <c r="BA342" s="698"/>
      <c r="BB342" s="695"/>
      <c r="BC342" s="700"/>
      <c r="BD342" s="800"/>
      <c r="BE342" s="800"/>
      <c r="BF342" s="800"/>
      <c r="BG342" s="800"/>
      <c r="BH342" s="800"/>
      <c r="BI342" s="800"/>
      <c r="BJ342" s="806"/>
      <c r="BK342" s="804"/>
      <c r="BL342" s="800"/>
      <c r="BM342" s="802"/>
      <c r="BN342" s="869"/>
      <c r="BO342" s="869"/>
      <c r="BP342" s="869"/>
    </row>
    <row r="343" spans="1:68" s="772" customFormat="1" ht="25.5">
      <c r="A343" s="681">
        <v>213</v>
      </c>
      <c r="B343" s="705" t="s">
        <v>424</v>
      </c>
      <c r="C343" s="682" t="s">
        <v>2368</v>
      </c>
      <c r="D343" s="682" t="s">
        <v>2369</v>
      </c>
      <c r="E343" s="767"/>
      <c r="F343" s="719" t="s">
        <v>1996</v>
      </c>
      <c r="G343" s="719" t="s">
        <v>1997</v>
      </c>
      <c r="H343" s="719" t="s">
        <v>541</v>
      </c>
      <c r="I343" s="692" t="s">
        <v>541</v>
      </c>
      <c r="J343" s="719">
        <v>194.184</v>
      </c>
      <c r="K343" s="917">
        <v>4000</v>
      </c>
      <c r="L343" s="917">
        <v>25</v>
      </c>
      <c r="M343" s="914">
        <v>0.41063299199999992</v>
      </c>
      <c r="N343" s="917">
        <v>25</v>
      </c>
      <c r="O343" s="914">
        <v>0.218</v>
      </c>
      <c r="P343" s="917">
        <v>20</v>
      </c>
      <c r="Q343" s="899">
        <v>1.9999999999999999E-6</v>
      </c>
      <c r="R343" s="698" t="s">
        <v>541</v>
      </c>
      <c r="S343" s="930">
        <v>1.6</v>
      </c>
      <c r="T343" s="686">
        <f>10^S343</f>
        <v>39.810717055349755</v>
      </c>
      <c r="U343" s="930">
        <v>1.6223000000000001</v>
      </c>
      <c r="V343" s="790">
        <f>10^U343</f>
        <v>41.908295740499071</v>
      </c>
      <c r="W343" s="787"/>
      <c r="X343" s="931">
        <v>0.05</v>
      </c>
      <c r="Y343" s="932">
        <v>0.1</v>
      </c>
      <c r="Z343" s="932">
        <v>0.1</v>
      </c>
      <c r="AA343" s="696"/>
      <c r="AB343" s="696"/>
      <c r="AC343" s="774"/>
      <c r="AD343" s="678"/>
      <c r="AE343" s="719"/>
      <c r="AF343" s="696"/>
      <c r="AG343" s="682"/>
      <c r="AH343" s="692"/>
      <c r="AI343" s="695"/>
      <c r="AJ343" s="696"/>
      <c r="AK343" s="696"/>
      <c r="AL343" s="696"/>
      <c r="AM343" s="696"/>
      <c r="AN343" s="696"/>
      <c r="AO343" s="696"/>
      <c r="AP343" s="696"/>
      <c r="AQ343" s="696"/>
      <c r="AR343" s="696"/>
      <c r="AS343" s="678"/>
      <c r="AT343" s="719"/>
      <c r="AU343" s="697"/>
      <c r="AV343" s="698"/>
      <c r="AW343" s="699"/>
      <c r="AX343" s="698"/>
      <c r="AY343" s="697"/>
      <c r="AZ343" s="699"/>
      <c r="BA343" s="698"/>
      <c r="BB343" s="695"/>
      <c r="BC343" s="700"/>
      <c r="BD343" s="800"/>
      <c r="BE343" s="800"/>
      <c r="BF343" s="800"/>
      <c r="BG343" s="800"/>
      <c r="BH343" s="800"/>
      <c r="BI343" s="800"/>
      <c r="BJ343" s="806"/>
      <c r="BK343" s="804"/>
      <c r="BL343" s="800"/>
      <c r="BM343" s="674"/>
      <c r="BN343" s="725"/>
      <c r="BO343" s="899">
        <v>0.25</v>
      </c>
      <c r="BP343" s="917">
        <v>1</v>
      </c>
    </row>
    <row r="344" spans="1:68" s="772" customFormat="1" ht="38.25">
      <c r="A344" s="681"/>
      <c r="B344" s="705"/>
      <c r="C344" s="682"/>
      <c r="D344" s="682"/>
      <c r="E344" s="767"/>
      <c r="F344" s="719"/>
      <c r="G344" s="719"/>
      <c r="H344" s="719"/>
      <c r="I344" s="705"/>
      <c r="J344" s="719" t="s">
        <v>2370</v>
      </c>
      <c r="K344" s="917" t="s">
        <v>2371</v>
      </c>
      <c r="L344" s="916" t="s">
        <v>2030</v>
      </c>
      <c r="M344" s="917" t="s">
        <v>2372</v>
      </c>
      <c r="N344" s="916" t="s">
        <v>2030</v>
      </c>
      <c r="O344" s="917" t="s">
        <v>2373</v>
      </c>
      <c r="P344" s="917" t="s">
        <v>2011</v>
      </c>
      <c r="Q344" s="917" t="s">
        <v>2012</v>
      </c>
      <c r="R344" s="698"/>
      <c r="S344" s="917" t="s">
        <v>2374</v>
      </c>
      <c r="T344" s="686"/>
      <c r="U344" s="933" t="s">
        <v>2375</v>
      </c>
      <c r="V344" s="790"/>
      <c r="W344" s="787"/>
      <c r="X344" s="916" t="s">
        <v>2376</v>
      </c>
      <c r="Y344" s="916" t="s">
        <v>2377</v>
      </c>
      <c r="Z344" s="916" t="s">
        <v>2377</v>
      </c>
      <c r="AA344" s="696"/>
      <c r="AB344" s="696"/>
      <c r="AC344" s="774"/>
      <c r="AD344" s="678"/>
      <c r="AE344" s="719"/>
      <c r="AF344" s="696"/>
      <c r="AG344" s="682"/>
      <c r="AH344" s="692"/>
      <c r="AI344" s="695"/>
      <c r="AJ344" s="696" t="s">
        <v>2220</v>
      </c>
      <c r="AK344" s="696" t="s">
        <v>2220</v>
      </c>
      <c r="AL344" s="696" t="s">
        <v>2220</v>
      </c>
      <c r="AM344" s="696" t="s">
        <v>2220</v>
      </c>
      <c r="AN344" s="696" t="s">
        <v>2220</v>
      </c>
      <c r="AO344" s="696" t="s">
        <v>2220</v>
      </c>
      <c r="AP344" s="696" t="s">
        <v>2220</v>
      </c>
      <c r="AQ344" s="696" t="s">
        <v>2220</v>
      </c>
      <c r="AR344" s="696" t="s">
        <v>2220</v>
      </c>
      <c r="AS344" s="678"/>
      <c r="AT344" s="719"/>
      <c r="AU344" s="697"/>
      <c r="AV344" s="698"/>
      <c r="AW344" s="699"/>
      <c r="AX344" s="698"/>
      <c r="AY344" s="697"/>
      <c r="AZ344" s="699"/>
      <c r="BA344" s="698"/>
      <c r="BB344" s="695"/>
      <c r="BC344" s="696" t="s">
        <v>2220</v>
      </c>
      <c r="BD344" s="696" t="s">
        <v>2220</v>
      </c>
      <c r="BE344" s="696" t="s">
        <v>2220</v>
      </c>
      <c r="BF344" s="696" t="s">
        <v>2220</v>
      </c>
      <c r="BG344" s="696" t="s">
        <v>2220</v>
      </c>
      <c r="BH344" s="696" t="s">
        <v>2220</v>
      </c>
      <c r="BI344" s="696" t="s">
        <v>2220</v>
      </c>
      <c r="BJ344" s="806"/>
      <c r="BK344" s="804"/>
      <c r="BL344" s="800"/>
      <c r="BM344" s="674"/>
      <c r="BN344" s="696" t="s">
        <v>2220</v>
      </c>
      <c r="BO344" s="901" t="s">
        <v>2147</v>
      </c>
      <c r="BP344" s="901" t="s">
        <v>2147</v>
      </c>
    </row>
    <row r="345" spans="1:68" s="772" customFormat="1">
      <c r="A345" s="681">
        <v>214</v>
      </c>
      <c r="B345" s="682" t="s">
        <v>425</v>
      </c>
      <c r="C345" s="683" t="s">
        <v>1054</v>
      </c>
      <c r="D345" s="682"/>
      <c r="E345" s="767"/>
      <c r="F345" s="685" t="s">
        <v>1996</v>
      </c>
      <c r="G345" s="685" t="s">
        <v>541</v>
      </c>
      <c r="H345" s="685" t="s">
        <v>541</v>
      </c>
      <c r="I345" s="682" t="s">
        <v>541</v>
      </c>
      <c r="J345" s="685">
        <v>220.351</v>
      </c>
      <c r="K345" s="686">
        <v>4.9000000000000004</v>
      </c>
      <c r="L345" s="687">
        <v>25</v>
      </c>
      <c r="M345" s="701">
        <v>0.109</v>
      </c>
      <c r="N345" s="702">
        <v>25</v>
      </c>
      <c r="O345" s="710">
        <v>1.5705</v>
      </c>
      <c r="P345" s="702">
        <v>25</v>
      </c>
      <c r="Q345" s="710"/>
      <c r="R345" s="710"/>
      <c r="S345" s="701">
        <v>5.9</v>
      </c>
      <c r="T345" s="686">
        <f>10^S345</f>
        <v>794328.23472428333</v>
      </c>
      <c r="U345" s="686">
        <f>LOG(0.411*10^S345)</f>
        <v>5.5138418218760705</v>
      </c>
      <c r="V345" s="790">
        <f>10^U345</f>
        <v>326468.90447168122</v>
      </c>
      <c r="W345" s="787"/>
      <c r="X345" s="781"/>
      <c r="Y345" s="710"/>
      <c r="Z345" s="710"/>
      <c r="AA345" s="710"/>
      <c r="AB345" s="710"/>
      <c r="AC345" s="778"/>
      <c r="AD345" s="786"/>
      <c r="AE345" s="781">
        <v>0.03</v>
      </c>
      <c r="AF345" s="679"/>
      <c r="AG345" s="682"/>
      <c r="AH345" s="682"/>
      <c r="AI345" s="684"/>
      <c r="AJ345" s="686"/>
      <c r="AK345" s="686"/>
      <c r="AL345" s="686"/>
      <c r="AM345" s="686"/>
      <c r="AN345" s="686"/>
      <c r="AO345" s="686"/>
      <c r="AP345" s="686"/>
      <c r="AQ345" s="686"/>
      <c r="AR345" s="686"/>
      <c r="AS345" s="810"/>
      <c r="AT345" s="709"/>
      <c r="AU345" s="686"/>
      <c r="AV345" s="689"/>
      <c r="AW345" s="686"/>
      <c r="AX345" s="689"/>
      <c r="AY345" s="686"/>
      <c r="AZ345" s="686"/>
      <c r="BA345" s="689"/>
      <c r="BB345" s="684"/>
      <c r="BC345" s="691"/>
      <c r="BD345" s="799"/>
      <c r="BE345" s="799"/>
      <c r="BF345" s="799"/>
      <c r="BG345" s="799"/>
      <c r="BH345" s="799"/>
      <c r="BI345" s="799"/>
      <c r="BJ345" s="795"/>
      <c r="BK345" s="803"/>
      <c r="BL345" s="799"/>
      <c r="BM345" s="802"/>
      <c r="BN345" s="869"/>
      <c r="BO345" s="869"/>
      <c r="BP345" s="869"/>
    </row>
    <row r="346" spans="1:68" s="772" customFormat="1" ht="178.5">
      <c r="A346" s="681"/>
      <c r="B346" s="692"/>
      <c r="C346" s="683"/>
      <c r="D346" s="682"/>
      <c r="E346" s="767"/>
      <c r="F346" s="693"/>
      <c r="G346" s="693"/>
      <c r="H346" s="693"/>
      <c r="I346" s="705" t="s">
        <v>541</v>
      </c>
      <c r="J346" s="693" t="s">
        <v>1055</v>
      </c>
      <c r="K346" s="692" t="s">
        <v>1056</v>
      </c>
      <c r="L346" s="694"/>
      <c r="M346" s="692" t="s">
        <v>1057</v>
      </c>
      <c r="N346" s="694"/>
      <c r="O346" s="688" t="s">
        <v>654</v>
      </c>
      <c r="P346" s="694"/>
      <c r="Q346" s="696"/>
      <c r="R346" s="696"/>
      <c r="S346" s="692" t="s">
        <v>1058</v>
      </c>
      <c r="T346" s="686"/>
      <c r="U346" s="694" t="s">
        <v>940</v>
      </c>
      <c r="V346" s="790"/>
      <c r="W346" s="788"/>
      <c r="X346" s="711"/>
      <c r="Y346" s="698"/>
      <c r="Z346" s="698"/>
      <c r="AA346" s="698"/>
      <c r="AB346" s="698"/>
      <c r="AC346" s="777"/>
      <c r="AD346" s="788"/>
      <c r="AE346" s="711" t="s">
        <v>1059</v>
      </c>
      <c r="AF346" s="698"/>
      <c r="AG346" s="692"/>
      <c r="AH346" s="692"/>
      <c r="AI346" s="695"/>
      <c r="AJ346" s="696"/>
      <c r="AK346" s="696"/>
      <c r="AL346" s="696"/>
      <c r="AM346" s="696"/>
      <c r="AN346" s="696"/>
      <c r="AO346" s="696"/>
      <c r="AP346" s="696"/>
      <c r="AQ346" s="696"/>
      <c r="AR346" s="696"/>
      <c r="AS346" s="678"/>
      <c r="AT346" s="719"/>
      <c r="AU346" s="697"/>
      <c r="AV346" s="698"/>
      <c r="AW346" s="699"/>
      <c r="AX346" s="698"/>
      <c r="AY346" s="697"/>
      <c r="AZ346" s="699"/>
      <c r="BA346" s="698"/>
      <c r="BB346" s="695"/>
      <c r="BC346" s="700"/>
      <c r="BD346" s="800"/>
      <c r="BE346" s="800"/>
      <c r="BF346" s="800"/>
      <c r="BG346" s="800"/>
      <c r="BH346" s="800"/>
      <c r="BI346" s="800"/>
      <c r="BJ346" s="806"/>
      <c r="BK346" s="804"/>
      <c r="BL346" s="800"/>
      <c r="BM346" s="802"/>
      <c r="BN346" s="869"/>
      <c r="BO346" s="869"/>
      <c r="BP346" s="869"/>
    </row>
    <row r="347" spans="1:68">
      <c r="A347" s="149">
        <v>215</v>
      </c>
      <c r="B347" s="156" t="s">
        <v>426</v>
      </c>
      <c r="C347" s="151" t="s">
        <v>1293</v>
      </c>
      <c r="D347" s="150"/>
      <c r="E347" s="767"/>
      <c r="F347" s="173" t="s">
        <v>1996</v>
      </c>
      <c r="G347" s="152" t="s">
        <v>541</v>
      </c>
      <c r="H347" s="152" t="s">
        <v>541</v>
      </c>
      <c r="I347" s="156" t="s">
        <v>541</v>
      </c>
      <c r="J347" s="173">
        <v>269.76799999999997</v>
      </c>
      <c r="K347" s="156">
        <v>282</v>
      </c>
      <c r="L347" s="154">
        <v>20</v>
      </c>
      <c r="M347" s="174">
        <v>2.1999999999999999E-5</v>
      </c>
      <c r="N347" s="167">
        <v>25</v>
      </c>
      <c r="O347" s="156">
        <v>2.0999999999999999E-3</v>
      </c>
      <c r="P347" s="154">
        <v>25</v>
      </c>
      <c r="Q347" s="156"/>
      <c r="R347" s="156"/>
      <c r="S347" s="153">
        <v>4.1399999999999997</v>
      </c>
      <c r="T347" s="153">
        <f t="shared" ref="T347:T363" si="4">10^S347</f>
        <v>13803.842646028841</v>
      </c>
      <c r="U347" s="153">
        <v>3.75</v>
      </c>
      <c r="V347" s="520">
        <f t="shared" ref="V347:V363" si="5">10^U347</f>
        <v>5623.4132519034993</v>
      </c>
      <c r="W347" s="690"/>
      <c r="X347" s="512"/>
      <c r="Y347" s="156"/>
      <c r="Z347" s="156"/>
      <c r="AA347" s="156"/>
      <c r="AB347" s="156"/>
      <c r="AC347" s="501"/>
      <c r="AD347" s="690"/>
      <c r="AE347" s="512">
        <v>3.5999999999999999E-3</v>
      </c>
      <c r="AF347" s="156"/>
      <c r="AG347" s="156"/>
      <c r="AH347" s="156"/>
      <c r="AI347" s="690"/>
      <c r="AJ347" s="153"/>
      <c r="AK347" s="153"/>
      <c r="AL347" s="153"/>
      <c r="AM347" s="153"/>
      <c r="AN347" s="153"/>
      <c r="AO347" s="153"/>
      <c r="AP347" s="153"/>
      <c r="AQ347" s="153"/>
      <c r="AR347" s="153"/>
      <c r="AS347" s="810"/>
      <c r="AT347" s="173"/>
      <c r="AU347" s="153"/>
      <c r="AV347" s="153"/>
      <c r="AW347" s="153"/>
      <c r="AX347" s="156"/>
      <c r="AY347" s="153"/>
      <c r="AZ347" s="153"/>
      <c r="BA347" s="153"/>
      <c r="BB347" s="684"/>
      <c r="BC347" s="157"/>
      <c r="BD347" s="521"/>
      <c r="BE347" s="521"/>
      <c r="BF347" s="521"/>
      <c r="BG347" s="521"/>
      <c r="BH347" s="521"/>
      <c r="BI347" s="521"/>
      <c r="BJ347" s="795"/>
      <c r="BK347" s="523"/>
      <c r="BL347" s="521"/>
      <c r="BN347" s="343"/>
      <c r="BO347" s="343"/>
      <c r="BP347" s="343"/>
    </row>
    <row r="348" spans="1:68" ht="89.25">
      <c r="A348" s="149"/>
      <c r="B348" s="158"/>
      <c r="C348" s="151"/>
      <c r="D348" s="150"/>
      <c r="E348" s="767"/>
      <c r="F348" s="159"/>
      <c r="G348" s="159"/>
      <c r="H348" s="159"/>
      <c r="I348" s="162" t="s">
        <v>541</v>
      </c>
      <c r="J348" s="159" t="s">
        <v>1294</v>
      </c>
      <c r="K348" s="158" t="s">
        <v>1295</v>
      </c>
      <c r="L348" s="160"/>
      <c r="M348" s="158" t="s">
        <v>1296</v>
      </c>
      <c r="N348" s="160"/>
      <c r="O348" s="155" t="s">
        <v>1297</v>
      </c>
      <c r="P348" s="160"/>
      <c r="Q348" s="158" t="s">
        <v>715</v>
      </c>
      <c r="R348" s="158"/>
      <c r="S348" s="158" t="s">
        <v>1298</v>
      </c>
      <c r="T348" s="153"/>
      <c r="U348" s="158" t="s">
        <v>1299</v>
      </c>
      <c r="V348" s="520"/>
      <c r="W348" s="695"/>
      <c r="X348" s="159"/>
      <c r="Y348" s="158"/>
      <c r="Z348" s="158"/>
      <c r="AA348" s="158"/>
      <c r="AB348" s="158"/>
      <c r="AC348" s="502"/>
      <c r="AD348" s="695"/>
      <c r="AE348" s="159" t="s">
        <v>1300</v>
      </c>
      <c r="AF348" s="163"/>
      <c r="AG348" s="158"/>
      <c r="AH348" s="158"/>
      <c r="AI348" s="695"/>
      <c r="AJ348" s="162"/>
      <c r="AK348" s="162"/>
      <c r="AL348" s="162"/>
      <c r="AM348" s="162"/>
      <c r="AN348" s="162"/>
      <c r="AO348" s="162"/>
      <c r="AP348" s="162"/>
      <c r="AQ348" s="162"/>
      <c r="AR348" s="162"/>
      <c r="AS348" s="811"/>
      <c r="AT348" s="527" t="s">
        <v>541</v>
      </c>
      <c r="AU348" s="162" t="s">
        <v>541</v>
      </c>
      <c r="AV348" s="164" t="s">
        <v>541</v>
      </c>
      <c r="AW348" s="164" t="s">
        <v>541</v>
      </c>
      <c r="AX348" s="164" t="s">
        <v>541</v>
      </c>
      <c r="AY348" s="162" t="s">
        <v>541</v>
      </c>
      <c r="AZ348" s="164" t="s">
        <v>541</v>
      </c>
      <c r="BA348" s="162" t="s">
        <v>541</v>
      </c>
      <c r="BB348" s="695"/>
      <c r="BC348" s="165"/>
      <c r="BD348" s="522"/>
      <c r="BE348" s="522"/>
      <c r="BF348" s="522"/>
      <c r="BG348" s="522"/>
      <c r="BH348" s="522"/>
      <c r="BI348" s="522"/>
      <c r="BJ348" s="806"/>
      <c r="BK348" s="524" t="s">
        <v>541</v>
      </c>
      <c r="BL348" s="522" t="s">
        <v>541</v>
      </c>
      <c r="BN348" s="343"/>
      <c r="BO348" s="343"/>
      <c r="BP348" s="343"/>
    </row>
    <row r="349" spans="1:68">
      <c r="A349" s="149">
        <v>217</v>
      </c>
      <c r="B349" s="156" t="s">
        <v>428</v>
      </c>
      <c r="C349" s="172" t="s">
        <v>1301</v>
      </c>
      <c r="D349" s="148"/>
      <c r="E349" s="766"/>
      <c r="F349" s="173" t="s">
        <v>1996</v>
      </c>
      <c r="G349" s="152" t="s">
        <v>541</v>
      </c>
      <c r="H349" s="152" t="s">
        <v>541</v>
      </c>
      <c r="I349" s="156" t="s">
        <v>541</v>
      </c>
      <c r="J349" s="173">
        <v>184.23599999999999</v>
      </c>
      <c r="K349" s="156">
        <v>718000</v>
      </c>
      <c r="L349" s="154">
        <v>20</v>
      </c>
      <c r="M349" s="174">
        <v>9.9999999999999995E-7</v>
      </c>
      <c r="N349" s="167">
        <v>25</v>
      </c>
      <c r="O349" s="156">
        <v>1.4100000000000001E-8</v>
      </c>
      <c r="P349" s="154">
        <v>25</v>
      </c>
      <c r="Q349" s="156"/>
      <c r="R349" s="156"/>
      <c r="S349" s="153">
        <v>-4.5999999999999996</v>
      </c>
      <c r="T349" s="153">
        <f t="shared" si="4"/>
        <v>2.5118864315095791E-5</v>
      </c>
      <c r="U349" s="189">
        <v>0.42499999999999999</v>
      </c>
      <c r="V349" s="520">
        <f t="shared" si="5"/>
        <v>2.6607250597988097</v>
      </c>
      <c r="X349" s="512"/>
      <c r="Y349" s="156"/>
      <c r="Z349" s="156"/>
      <c r="AA349" s="156"/>
      <c r="AB349" s="156"/>
      <c r="AC349" s="501"/>
      <c r="AD349" s="690"/>
      <c r="AE349" s="512">
        <v>2E-3</v>
      </c>
      <c r="AF349" s="156"/>
      <c r="AG349" s="156"/>
      <c r="AH349" s="156"/>
      <c r="AI349" s="690"/>
      <c r="AJ349" s="153"/>
      <c r="AK349" s="153"/>
      <c r="AL349" s="153"/>
      <c r="AM349" s="153"/>
      <c r="AN349" s="153"/>
      <c r="AO349" s="153"/>
      <c r="AP349" s="153"/>
      <c r="AQ349" s="153"/>
      <c r="AR349" s="153"/>
      <c r="AS349" s="810"/>
      <c r="AT349" s="173"/>
      <c r="AU349" s="153"/>
      <c r="AV349" s="153"/>
      <c r="AW349" s="153"/>
      <c r="AX349" s="156"/>
      <c r="AY349" s="153"/>
      <c r="AZ349" s="153"/>
      <c r="BA349" s="153"/>
      <c r="BB349" s="684"/>
      <c r="BC349" s="157"/>
      <c r="BD349" s="521"/>
      <c r="BE349" s="521"/>
      <c r="BF349" s="521"/>
      <c r="BG349" s="521"/>
      <c r="BH349" s="521"/>
      <c r="BI349" s="521"/>
      <c r="BJ349" s="795"/>
      <c r="BK349" s="523"/>
      <c r="BL349" s="521"/>
      <c r="BN349" s="343"/>
      <c r="BO349" s="343"/>
      <c r="BP349" s="343"/>
    </row>
    <row r="350" spans="1:68" ht="102">
      <c r="A350" s="149"/>
      <c r="B350" s="158"/>
      <c r="C350" s="172"/>
      <c r="D350" s="148"/>
      <c r="E350" s="766"/>
      <c r="F350" s="159"/>
      <c r="G350" s="159"/>
      <c r="H350" s="159"/>
      <c r="I350" s="162" t="s">
        <v>541</v>
      </c>
      <c r="J350" s="159" t="s">
        <v>1294</v>
      </c>
      <c r="K350" s="161" t="s">
        <v>1302</v>
      </c>
      <c r="L350" s="181"/>
      <c r="M350" s="158" t="s">
        <v>1303</v>
      </c>
      <c r="N350" s="160"/>
      <c r="O350" s="155" t="s">
        <v>1304</v>
      </c>
      <c r="P350" s="160"/>
      <c r="Q350" s="158" t="s">
        <v>715</v>
      </c>
      <c r="R350" s="158"/>
      <c r="S350" s="158" t="s">
        <v>1305</v>
      </c>
      <c r="T350" s="153"/>
      <c r="U350" s="158" t="s">
        <v>1306</v>
      </c>
      <c r="V350" s="520"/>
      <c r="X350" s="159"/>
      <c r="Y350" s="158"/>
      <c r="Z350" s="158"/>
      <c r="AA350" s="158"/>
      <c r="AB350" s="158"/>
      <c r="AC350" s="502"/>
      <c r="AD350" s="695"/>
      <c r="AE350" s="159" t="s">
        <v>1307</v>
      </c>
      <c r="AF350" s="163"/>
      <c r="AG350" s="158"/>
      <c r="AH350" s="158"/>
      <c r="AI350" s="695"/>
      <c r="AJ350" s="162"/>
      <c r="AK350" s="162"/>
      <c r="AL350" s="162"/>
      <c r="AM350" s="162"/>
      <c r="AN350" s="162"/>
      <c r="AO350" s="162"/>
      <c r="AP350" s="162"/>
      <c r="AQ350" s="162"/>
      <c r="AR350" s="162"/>
      <c r="AS350" s="811"/>
      <c r="AT350" s="527" t="s">
        <v>541</v>
      </c>
      <c r="AU350" s="162" t="s">
        <v>541</v>
      </c>
      <c r="AV350" s="164" t="s">
        <v>541</v>
      </c>
      <c r="AW350" s="164" t="s">
        <v>541</v>
      </c>
      <c r="AX350" s="164" t="s">
        <v>541</v>
      </c>
      <c r="AY350" s="162" t="s">
        <v>541</v>
      </c>
      <c r="AZ350" s="164" t="s">
        <v>541</v>
      </c>
      <c r="BA350" s="162" t="s">
        <v>541</v>
      </c>
      <c r="BB350" s="695"/>
      <c r="BC350" s="165"/>
      <c r="BD350" s="522"/>
      <c r="BE350" s="522"/>
      <c r="BF350" s="522"/>
      <c r="BG350" s="522"/>
      <c r="BH350" s="522"/>
      <c r="BI350" s="522"/>
      <c r="BJ350" s="806"/>
      <c r="BK350" s="524" t="s">
        <v>541</v>
      </c>
      <c r="BL350" s="522" t="s">
        <v>541</v>
      </c>
      <c r="BN350" s="343"/>
      <c r="BO350" s="343"/>
      <c r="BP350" s="343"/>
    </row>
    <row r="351" spans="1:68">
      <c r="A351" s="149">
        <v>219</v>
      </c>
      <c r="B351" s="156" t="s">
        <v>430</v>
      </c>
      <c r="C351" s="172" t="s">
        <v>1308</v>
      </c>
      <c r="D351" s="148"/>
      <c r="E351" s="766"/>
      <c r="F351" s="173" t="s">
        <v>1996</v>
      </c>
      <c r="G351" s="152" t="s">
        <v>541</v>
      </c>
      <c r="H351" s="152" t="s">
        <v>541</v>
      </c>
      <c r="I351" s="156" t="s">
        <v>541</v>
      </c>
      <c r="J351" s="173">
        <v>186.25200000000001</v>
      </c>
      <c r="K351" s="156">
        <v>620000</v>
      </c>
      <c r="L351" s="154">
        <v>20</v>
      </c>
      <c r="M351" s="174">
        <v>1.0000000000000001E-5</v>
      </c>
      <c r="N351" s="167">
        <v>25</v>
      </c>
      <c r="O351" s="156">
        <v>3.9999999999999999E-12</v>
      </c>
      <c r="P351" s="154">
        <v>25</v>
      </c>
      <c r="Q351" s="174"/>
      <c r="R351" s="174"/>
      <c r="S351" s="153">
        <v>-4.5</v>
      </c>
      <c r="T351" s="153">
        <f t="shared" si="4"/>
        <v>3.1622776601683748E-5</v>
      </c>
      <c r="U351" s="153">
        <v>-4.8899999999999997</v>
      </c>
      <c r="V351" s="520">
        <f t="shared" si="5"/>
        <v>1.2882495516931347E-5</v>
      </c>
      <c r="X351" s="512"/>
      <c r="Y351" s="156"/>
      <c r="Z351" s="156"/>
      <c r="AA351" s="156"/>
      <c r="AB351" s="156"/>
      <c r="AC351" s="501"/>
      <c r="AD351" s="690"/>
      <c r="AE351" s="512">
        <v>4.0000000000000001E-3</v>
      </c>
      <c r="AF351" s="156"/>
      <c r="AG351" s="156"/>
      <c r="AH351" s="156"/>
      <c r="AI351" s="690"/>
      <c r="AJ351" s="153"/>
      <c r="AK351" s="153"/>
      <c r="AL351" s="153"/>
      <c r="AM351" s="153"/>
      <c r="AN351" s="153"/>
      <c r="AO351" s="153"/>
      <c r="AP351" s="153"/>
      <c r="AQ351" s="153"/>
      <c r="AR351" s="153"/>
      <c r="AS351" s="810"/>
      <c r="AT351" s="173"/>
      <c r="AU351" s="153"/>
      <c r="AV351" s="153"/>
      <c r="AW351" s="153"/>
      <c r="AX351" s="156"/>
      <c r="AY351" s="153"/>
      <c r="AZ351" s="153"/>
      <c r="BA351" s="153"/>
      <c r="BB351" s="684"/>
      <c r="BC351" s="157"/>
      <c r="BD351" s="521"/>
      <c r="BE351" s="521"/>
      <c r="BF351" s="521"/>
      <c r="BG351" s="521"/>
      <c r="BH351" s="521"/>
      <c r="BI351" s="521"/>
      <c r="BJ351" s="795"/>
      <c r="BK351" s="523"/>
      <c r="BL351" s="521"/>
      <c r="BN351" s="343"/>
      <c r="BO351" s="343"/>
      <c r="BP351" s="343"/>
    </row>
    <row r="352" spans="1:68" ht="89.25">
      <c r="A352" s="149"/>
      <c r="B352" s="158"/>
      <c r="C352" s="172"/>
      <c r="D352" s="148"/>
      <c r="E352" s="766"/>
      <c r="F352" s="159"/>
      <c r="G352" s="159"/>
      <c r="H352" s="159"/>
      <c r="I352" s="162" t="s">
        <v>541</v>
      </c>
      <c r="J352" s="159" t="s">
        <v>1294</v>
      </c>
      <c r="K352" s="158" t="s">
        <v>1309</v>
      </c>
      <c r="L352" s="160"/>
      <c r="M352" s="158" t="s">
        <v>1303</v>
      </c>
      <c r="N352" s="160"/>
      <c r="O352" s="155" t="s">
        <v>1310</v>
      </c>
      <c r="P352" s="160"/>
      <c r="Q352" s="158" t="s">
        <v>715</v>
      </c>
      <c r="R352" s="158"/>
      <c r="S352" s="158" t="s">
        <v>1311</v>
      </c>
      <c r="T352" s="153"/>
      <c r="U352" s="158" t="s">
        <v>1299</v>
      </c>
      <c r="V352" s="520"/>
      <c r="X352" s="159"/>
      <c r="Y352" s="158"/>
      <c r="Z352" s="158"/>
      <c r="AA352" s="158"/>
      <c r="AB352" s="158"/>
      <c r="AC352" s="502"/>
      <c r="AD352" s="695"/>
      <c r="AE352" s="159" t="s">
        <v>1312</v>
      </c>
      <c r="AF352" s="158"/>
      <c r="AG352" s="158"/>
      <c r="AH352" s="158"/>
      <c r="AI352" s="695"/>
      <c r="AJ352" s="162"/>
      <c r="AK352" s="162"/>
      <c r="AL352" s="162"/>
      <c r="AM352" s="162"/>
      <c r="AN352" s="162"/>
      <c r="AO352" s="162"/>
      <c r="AP352" s="162"/>
      <c r="AQ352" s="162"/>
      <c r="AR352" s="162"/>
      <c r="AS352" s="811"/>
      <c r="AT352" s="527"/>
      <c r="AU352" s="162"/>
      <c r="AV352" s="164"/>
      <c r="AW352" s="164"/>
      <c r="AX352" s="164"/>
      <c r="AY352" s="162"/>
      <c r="AZ352" s="164"/>
      <c r="BA352" s="162"/>
      <c r="BB352" s="695"/>
      <c r="BC352" s="165"/>
      <c r="BD352" s="522"/>
      <c r="BE352" s="522"/>
      <c r="BF352" s="522"/>
      <c r="BG352" s="522"/>
      <c r="BH352" s="522"/>
      <c r="BI352" s="522"/>
      <c r="BJ352" s="806"/>
      <c r="BK352" s="524"/>
      <c r="BL352" s="522"/>
      <c r="BN352" s="343"/>
      <c r="BO352" s="343"/>
      <c r="BP352" s="343"/>
    </row>
    <row r="353" spans="1:68">
      <c r="A353" s="149">
        <v>220</v>
      </c>
      <c r="B353" s="156" t="s">
        <v>431</v>
      </c>
      <c r="C353" s="151" t="s">
        <v>1313</v>
      </c>
      <c r="D353" s="150"/>
      <c r="E353" s="767"/>
      <c r="F353" s="173" t="s">
        <v>1996</v>
      </c>
      <c r="G353" s="152" t="s">
        <v>541</v>
      </c>
      <c r="H353" s="152" t="s">
        <v>541</v>
      </c>
      <c r="I353" s="156" t="s">
        <v>541</v>
      </c>
      <c r="J353" s="173">
        <v>169.07400000000001</v>
      </c>
      <c r="K353" s="167">
        <v>10500</v>
      </c>
      <c r="L353" s="167">
        <v>20</v>
      </c>
      <c r="M353" s="174">
        <v>4.0000000000000003E-5</v>
      </c>
      <c r="N353" s="167">
        <v>25</v>
      </c>
      <c r="O353" s="156">
        <v>2.1E-7</v>
      </c>
      <c r="P353" s="154">
        <v>25</v>
      </c>
      <c r="Q353" s="174"/>
      <c r="R353" s="174"/>
      <c r="S353" s="153">
        <v>-2.42</v>
      </c>
      <c r="T353" s="153">
        <f t="shared" si="4"/>
        <v>3.8018939632056123E-3</v>
      </c>
      <c r="U353" s="153">
        <v>2.5299999999999998</v>
      </c>
      <c r="V353" s="520">
        <f t="shared" si="5"/>
        <v>338.84415613920248</v>
      </c>
      <c r="W353" s="788"/>
      <c r="X353" s="512"/>
      <c r="Y353" s="156"/>
      <c r="Z353" s="156"/>
      <c r="AA353" s="156"/>
      <c r="AB353" s="156"/>
      <c r="AC353" s="501"/>
      <c r="AD353" s="690"/>
      <c r="AE353" s="512">
        <v>0.1</v>
      </c>
      <c r="AF353" s="156"/>
      <c r="AG353" s="156"/>
      <c r="AH353" s="156"/>
      <c r="AI353" s="690"/>
      <c r="AJ353" s="153"/>
      <c r="AK353" s="153"/>
      <c r="AL353" s="153"/>
      <c r="AM353" s="153"/>
      <c r="AN353" s="153"/>
      <c r="AO353" s="153"/>
      <c r="AP353" s="153"/>
      <c r="AQ353" s="153"/>
      <c r="AR353" s="153"/>
      <c r="AS353" s="810"/>
      <c r="AT353" s="173"/>
      <c r="AU353" s="153"/>
      <c r="AV353" s="153"/>
      <c r="AW353" s="153"/>
      <c r="AX353" s="156"/>
      <c r="AY353" s="153"/>
      <c r="AZ353" s="153"/>
      <c r="BA353" s="153"/>
      <c r="BB353" s="684"/>
      <c r="BC353" s="157"/>
      <c r="BD353" s="521"/>
      <c r="BE353" s="521"/>
      <c r="BF353" s="521"/>
      <c r="BG353" s="521"/>
      <c r="BH353" s="521"/>
      <c r="BI353" s="521"/>
      <c r="BJ353" s="795"/>
      <c r="BK353" s="523"/>
      <c r="BL353" s="521"/>
      <c r="BN353" s="343"/>
      <c r="BO353" s="343"/>
      <c r="BP353" s="343"/>
    </row>
    <row r="354" spans="1:68" ht="102">
      <c r="A354" s="149"/>
      <c r="B354" s="158"/>
      <c r="C354" s="151"/>
      <c r="D354" s="150"/>
      <c r="E354" s="767"/>
      <c r="F354" s="159"/>
      <c r="G354" s="159"/>
      <c r="H354" s="159"/>
      <c r="I354" s="162" t="s">
        <v>541</v>
      </c>
      <c r="J354" s="159" t="s">
        <v>1294</v>
      </c>
      <c r="K354" s="158" t="s">
        <v>1314</v>
      </c>
      <c r="L354" s="160"/>
      <c r="M354" s="158" t="s">
        <v>1315</v>
      </c>
      <c r="N354" s="160"/>
      <c r="O354" s="155" t="s">
        <v>1297</v>
      </c>
      <c r="P354" s="160"/>
      <c r="Q354" s="158" t="s">
        <v>715</v>
      </c>
      <c r="R354" s="158"/>
      <c r="S354" s="158" t="s">
        <v>1316</v>
      </c>
      <c r="T354" s="153"/>
      <c r="U354" s="158" t="s">
        <v>1317</v>
      </c>
      <c r="V354" s="520"/>
      <c r="W354" s="788"/>
      <c r="X354" s="159"/>
      <c r="Y354" s="158"/>
      <c r="Z354" s="158"/>
      <c r="AA354" s="158"/>
      <c r="AB354" s="158"/>
      <c r="AC354" s="502"/>
      <c r="AD354" s="695"/>
      <c r="AE354" s="159" t="s">
        <v>1318</v>
      </c>
      <c r="AF354" s="163"/>
      <c r="AG354" s="158"/>
      <c r="AH354" s="158"/>
      <c r="AI354" s="695"/>
      <c r="AJ354" s="162"/>
      <c r="AK354" s="162"/>
      <c r="AL354" s="162"/>
      <c r="AM354" s="162"/>
      <c r="AN354" s="162"/>
      <c r="AO354" s="162"/>
      <c r="AP354" s="162"/>
      <c r="AQ354" s="162"/>
      <c r="AR354" s="162"/>
      <c r="AS354" s="811"/>
      <c r="AT354" s="527"/>
      <c r="AU354" s="162"/>
      <c r="AV354" s="164"/>
      <c r="AW354" s="164"/>
      <c r="AX354" s="164"/>
      <c r="AY354" s="162"/>
      <c r="AZ354" s="164"/>
      <c r="BA354" s="162"/>
      <c r="BB354" s="695"/>
      <c r="BC354" s="165"/>
      <c r="BD354" s="522"/>
      <c r="BE354" s="522"/>
      <c r="BF354" s="522"/>
      <c r="BG354" s="522"/>
      <c r="BH354" s="522"/>
      <c r="BI354" s="522"/>
      <c r="BJ354" s="806"/>
      <c r="BK354" s="524"/>
      <c r="BL354" s="522"/>
      <c r="BN354" s="343"/>
      <c r="BO354" s="343"/>
      <c r="BP354" s="343"/>
    </row>
    <row r="355" spans="1:68">
      <c r="A355" s="149">
        <v>221</v>
      </c>
      <c r="B355" s="156" t="s">
        <v>432</v>
      </c>
      <c r="C355" s="172" t="s">
        <v>1319</v>
      </c>
      <c r="D355" s="148"/>
      <c r="E355" s="766"/>
      <c r="F355" s="173" t="s">
        <v>1996</v>
      </c>
      <c r="G355" s="152" t="s">
        <v>541</v>
      </c>
      <c r="H355" s="152" t="s">
        <v>541</v>
      </c>
      <c r="I355" s="156" t="s">
        <v>541</v>
      </c>
      <c r="J355" s="173">
        <v>271.35500000000002</v>
      </c>
      <c r="K355" s="154">
        <v>73</v>
      </c>
      <c r="L355" s="154">
        <v>20</v>
      </c>
      <c r="M355" s="174">
        <v>2.27E-5</v>
      </c>
      <c r="N355" s="167" t="s">
        <v>1386</v>
      </c>
      <c r="O355" s="156">
        <v>8.1000000000000004E-5</v>
      </c>
      <c r="P355" s="154">
        <v>25</v>
      </c>
      <c r="Q355" s="156"/>
      <c r="R355" s="156"/>
      <c r="S355" s="153">
        <v>3.27</v>
      </c>
      <c r="T355" s="153">
        <f t="shared" si="4"/>
        <v>1862.0871366628687</v>
      </c>
      <c r="U355" s="153">
        <v>2.84</v>
      </c>
      <c r="V355" s="520">
        <f t="shared" si="5"/>
        <v>691.83097091893671</v>
      </c>
      <c r="X355" s="512"/>
      <c r="Y355" s="156"/>
      <c r="Z355" s="156"/>
      <c r="AA355" s="156"/>
      <c r="AB355" s="156"/>
      <c r="AC355" s="501"/>
      <c r="AD355" s="690"/>
      <c r="AE355" s="512">
        <v>0.3</v>
      </c>
      <c r="AF355" s="156"/>
      <c r="AG355" s="156"/>
      <c r="AH355" s="156"/>
      <c r="AI355" s="690"/>
      <c r="AJ355" s="153"/>
      <c r="AK355" s="153"/>
      <c r="AL355" s="153"/>
      <c r="AM355" s="153"/>
      <c r="AN355" s="153"/>
      <c r="AO355" s="153"/>
      <c r="AP355" s="153"/>
      <c r="AQ355" s="153"/>
      <c r="AR355" s="153"/>
      <c r="AS355" s="810"/>
      <c r="AT355" s="173"/>
      <c r="AU355" s="153"/>
      <c r="AV355" s="153"/>
      <c r="AW355" s="153"/>
      <c r="AX355" s="156"/>
      <c r="AY355" s="153"/>
      <c r="AZ355" s="153"/>
      <c r="BA355" s="153"/>
      <c r="BB355" s="684"/>
      <c r="BC355" s="157"/>
      <c r="BD355" s="521"/>
      <c r="BE355" s="521"/>
      <c r="BF355" s="521"/>
      <c r="BG355" s="521"/>
      <c r="BH355" s="521"/>
      <c r="BI355" s="521"/>
      <c r="BJ355" s="795"/>
      <c r="BK355" s="523"/>
      <c r="BL355" s="521"/>
      <c r="BN355" s="343"/>
      <c r="BO355" s="343"/>
      <c r="BP355" s="343"/>
    </row>
    <row r="356" spans="1:68" ht="76.5">
      <c r="A356" s="149"/>
      <c r="B356" s="158"/>
      <c r="C356" s="172"/>
      <c r="D356" s="148"/>
      <c r="E356" s="766"/>
      <c r="F356" s="159"/>
      <c r="G356" s="159"/>
      <c r="H356" s="159"/>
      <c r="I356" s="170" t="s">
        <v>541</v>
      </c>
      <c r="J356" s="159" t="s">
        <v>1320</v>
      </c>
      <c r="K356" s="158" t="s">
        <v>1321</v>
      </c>
      <c r="L356" s="160"/>
      <c r="M356" s="160" t="s">
        <v>1322</v>
      </c>
      <c r="N356" s="160"/>
      <c r="O356" s="155" t="s">
        <v>1297</v>
      </c>
      <c r="P356" s="160"/>
      <c r="Q356" s="158" t="s">
        <v>715</v>
      </c>
      <c r="R356" s="158"/>
      <c r="S356" s="158" t="s">
        <v>1323</v>
      </c>
      <c r="T356" s="153"/>
      <c r="U356" s="158" t="s">
        <v>1324</v>
      </c>
      <c r="V356" s="520"/>
      <c r="X356" s="159"/>
      <c r="Y356" s="158"/>
      <c r="Z356" s="158"/>
      <c r="AA356" s="158"/>
      <c r="AB356" s="158"/>
      <c r="AC356" s="502"/>
      <c r="AD356" s="695"/>
      <c r="AE356" s="159" t="s">
        <v>1325</v>
      </c>
      <c r="AF356" s="163"/>
      <c r="AG356" s="158"/>
      <c r="AH356" s="158"/>
      <c r="AI356" s="695"/>
      <c r="AJ356" s="162"/>
      <c r="AK356" s="162"/>
      <c r="AL356" s="162"/>
      <c r="AM356" s="162"/>
      <c r="AN356" s="162"/>
      <c r="AO356" s="162"/>
      <c r="AP356" s="162"/>
      <c r="AQ356" s="162"/>
      <c r="AR356" s="162"/>
      <c r="AS356" s="811"/>
      <c r="AT356" s="527" t="s">
        <v>541</v>
      </c>
      <c r="AU356" s="162" t="s">
        <v>541</v>
      </c>
      <c r="AV356" s="164" t="s">
        <v>541</v>
      </c>
      <c r="AW356" s="164" t="s">
        <v>541</v>
      </c>
      <c r="AX356" s="164" t="s">
        <v>541</v>
      </c>
      <c r="AY356" s="162" t="s">
        <v>541</v>
      </c>
      <c r="AZ356" s="164" t="s">
        <v>541</v>
      </c>
      <c r="BA356" s="162" t="s">
        <v>541</v>
      </c>
      <c r="BB356" s="695"/>
      <c r="BC356" s="165"/>
      <c r="BD356" s="522"/>
      <c r="BE356" s="522"/>
      <c r="BF356" s="522"/>
      <c r="BG356" s="522"/>
      <c r="BH356" s="522"/>
      <c r="BI356" s="522"/>
      <c r="BJ356" s="806"/>
      <c r="BK356" s="524" t="s">
        <v>541</v>
      </c>
      <c r="BL356" s="522" t="s">
        <v>541</v>
      </c>
      <c r="BN356" s="343"/>
      <c r="BO356" s="343"/>
      <c r="BP356" s="343"/>
    </row>
    <row r="357" spans="1:68">
      <c r="A357" s="149">
        <v>222</v>
      </c>
      <c r="B357" s="156" t="s">
        <v>433</v>
      </c>
      <c r="C357" s="172" t="s">
        <v>1326</v>
      </c>
      <c r="D357" s="148"/>
      <c r="E357" s="766"/>
      <c r="F357" s="173" t="s">
        <v>1996</v>
      </c>
      <c r="G357" s="152" t="s">
        <v>541</v>
      </c>
      <c r="H357" s="152" t="s">
        <v>541</v>
      </c>
      <c r="I357" s="156" t="s">
        <v>541</v>
      </c>
      <c r="J357" s="173">
        <v>217.37200000000001</v>
      </c>
      <c r="K357" s="154">
        <v>46</v>
      </c>
      <c r="L357" s="154">
        <v>20</v>
      </c>
      <c r="M357" s="174">
        <v>0.28699999999999998</v>
      </c>
      <c r="N357" s="167">
        <v>20</v>
      </c>
      <c r="O357" s="156">
        <v>10.4</v>
      </c>
      <c r="P357" s="154">
        <v>25</v>
      </c>
      <c r="Q357" s="156"/>
      <c r="R357" s="156"/>
      <c r="S357" s="153">
        <v>3.98</v>
      </c>
      <c r="T357" s="153">
        <f t="shared" si="4"/>
        <v>9549.9258602143691</v>
      </c>
      <c r="U357" s="153">
        <v>2.62</v>
      </c>
      <c r="V357" s="520">
        <f t="shared" si="5"/>
        <v>416.86938347033572</v>
      </c>
      <c r="X357" s="512"/>
      <c r="Y357" s="156"/>
      <c r="Z357" s="156"/>
      <c r="AA357" s="156"/>
      <c r="AB357" s="156"/>
      <c r="AC357" s="501"/>
      <c r="AD357" s="690"/>
      <c r="AE357" s="512">
        <v>0.05</v>
      </c>
      <c r="AF357" s="156"/>
      <c r="AG357" s="156"/>
      <c r="AH357" s="156"/>
      <c r="AI357" s="690"/>
      <c r="AJ357" s="153"/>
      <c r="AK357" s="153"/>
      <c r="AL357" s="153"/>
      <c r="AM357" s="153"/>
      <c r="AN357" s="153"/>
      <c r="AO357" s="153"/>
      <c r="AP357" s="153"/>
      <c r="AQ357" s="153"/>
      <c r="AR357" s="153"/>
      <c r="AS357" s="810"/>
      <c r="AT357" s="173"/>
      <c r="AU357" s="153"/>
      <c r="AV357" s="153"/>
      <c r="AW357" s="153"/>
      <c r="AX357" s="156"/>
      <c r="AY357" s="153"/>
      <c r="AZ357" s="153"/>
      <c r="BA357" s="153"/>
      <c r="BB357" s="684"/>
      <c r="BC357" s="157"/>
      <c r="BD357" s="521"/>
      <c r="BE357" s="521"/>
      <c r="BF357" s="521"/>
      <c r="BG357" s="521"/>
      <c r="BH357" s="521"/>
      <c r="BI357" s="521"/>
      <c r="BJ357" s="795"/>
      <c r="BK357" s="523"/>
      <c r="BL357" s="521"/>
      <c r="BN357" s="343"/>
      <c r="BO357" s="343"/>
      <c r="BP357" s="343"/>
    </row>
    <row r="358" spans="1:68" ht="63.75">
      <c r="A358" s="149"/>
      <c r="B358" s="158"/>
      <c r="C358" s="172"/>
      <c r="D358" s="148"/>
      <c r="E358" s="766"/>
      <c r="F358" s="159"/>
      <c r="G358" s="159"/>
      <c r="H358" s="159"/>
      <c r="I358" s="170" t="s">
        <v>541</v>
      </c>
      <c r="J358" s="159" t="s">
        <v>863</v>
      </c>
      <c r="K358" s="158" t="s">
        <v>1327</v>
      </c>
      <c r="L358" s="160"/>
      <c r="M358" s="160" t="s">
        <v>1328</v>
      </c>
      <c r="N358" s="160"/>
      <c r="O358" s="155" t="s">
        <v>1329</v>
      </c>
      <c r="P358" s="160"/>
      <c r="Q358" s="158" t="s">
        <v>715</v>
      </c>
      <c r="R358" s="158"/>
      <c r="S358" s="158" t="s">
        <v>1330</v>
      </c>
      <c r="T358" s="153"/>
      <c r="U358" s="158" t="s">
        <v>1331</v>
      </c>
      <c r="V358" s="520"/>
      <c r="X358" s="159"/>
      <c r="Y358" s="158"/>
      <c r="Z358" s="158"/>
      <c r="AA358" s="158"/>
      <c r="AB358" s="158"/>
      <c r="AC358" s="502"/>
      <c r="AD358" s="695"/>
      <c r="AE358" s="159" t="s">
        <v>1332</v>
      </c>
      <c r="AF358" s="163"/>
      <c r="AG358" s="158"/>
      <c r="AH358" s="158"/>
      <c r="AI358" s="695"/>
      <c r="AJ358" s="162"/>
      <c r="AK358" s="162"/>
      <c r="AL358" s="162"/>
      <c r="AM358" s="162"/>
      <c r="AN358" s="162"/>
      <c r="AO358" s="162"/>
      <c r="AP358" s="162"/>
      <c r="AQ358" s="162"/>
      <c r="AR358" s="162"/>
      <c r="AS358" s="811"/>
      <c r="AT358" s="527" t="s">
        <v>541</v>
      </c>
      <c r="AU358" s="162" t="s">
        <v>541</v>
      </c>
      <c r="AV358" s="164" t="s">
        <v>541</v>
      </c>
      <c r="AW358" s="164" t="s">
        <v>541</v>
      </c>
      <c r="AX358" s="164" t="s">
        <v>541</v>
      </c>
      <c r="AY358" s="162" t="s">
        <v>541</v>
      </c>
      <c r="AZ358" s="164" t="s">
        <v>541</v>
      </c>
      <c r="BA358" s="162" t="s">
        <v>541</v>
      </c>
      <c r="BB358" s="695"/>
      <c r="BC358" s="165"/>
      <c r="BD358" s="522"/>
      <c r="BE358" s="522"/>
      <c r="BF358" s="522"/>
      <c r="BG358" s="522"/>
      <c r="BH358" s="522"/>
      <c r="BI358" s="522"/>
      <c r="BJ358" s="806"/>
      <c r="BK358" s="524" t="s">
        <v>541</v>
      </c>
      <c r="BL358" s="522" t="s">
        <v>541</v>
      </c>
      <c r="BN358" s="343"/>
      <c r="BO358" s="343"/>
      <c r="BP358" s="343"/>
    </row>
    <row r="359" spans="1:68">
      <c r="A359" s="149">
        <v>223</v>
      </c>
      <c r="B359" s="150" t="s">
        <v>434</v>
      </c>
      <c r="C359" s="151" t="s">
        <v>1333</v>
      </c>
      <c r="D359" s="150"/>
      <c r="E359" s="767"/>
      <c r="F359" s="173" t="s">
        <v>1996</v>
      </c>
      <c r="G359" s="152" t="s">
        <v>541</v>
      </c>
      <c r="H359" s="152" t="s">
        <v>541</v>
      </c>
      <c r="I359" s="156" t="s">
        <v>541</v>
      </c>
      <c r="J359" s="173">
        <v>187.30199999999999</v>
      </c>
      <c r="K359" s="148">
        <v>880</v>
      </c>
      <c r="L359" s="167">
        <v>20</v>
      </c>
      <c r="M359" s="156">
        <v>0.748</v>
      </c>
      <c r="N359" s="154">
        <v>20</v>
      </c>
      <c r="O359" s="156">
        <v>0.46</v>
      </c>
      <c r="P359" s="154">
        <v>20</v>
      </c>
      <c r="Q359" s="156"/>
      <c r="R359" s="156"/>
      <c r="S359" s="153">
        <v>3.1</v>
      </c>
      <c r="T359" s="153">
        <f t="shared" si="4"/>
        <v>1258.925411794168</v>
      </c>
      <c r="U359" s="153">
        <v>2.06</v>
      </c>
      <c r="V359" s="520">
        <f t="shared" si="5"/>
        <v>114.81536214968835</v>
      </c>
      <c r="W359" s="787"/>
      <c r="X359" s="512"/>
      <c r="Y359" s="156"/>
      <c r="Z359" s="156"/>
      <c r="AA359" s="156"/>
      <c r="AB359" s="156"/>
      <c r="AC359" s="501"/>
      <c r="AD359" s="690"/>
      <c r="AE359" s="512">
        <v>2E-3</v>
      </c>
      <c r="AF359" s="156"/>
      <c r="AG359" s="156"/>
      <c r="AH359" s="156"/>
      <c r="AI359" s="690"/>
      <c r="AJ359" s="153"/>
      <c r="AK359" s="153"/>
      <c r="AL359" s="153"/>
      <c r="AM359" s="153"/>
      <c r="AN359" s="153"/>
      <c r="AO359" s="153"/>
      <c r="AP359" s="153"/>
      <c r="AQ359" s="153"/>
      <c r="AR359" s="153"/>
      <c r="AS359" s="810"/>
      <c r="AT359" s="173"/>
      <c r="AU359" s="153"/>
      <c r="AV359" s="156"/>
      <c r="AW359" s="153"/>
      <c r="AX359" s="156"/>
      <c r="AY359" s="153"/>
      <c r="AZ359" s="153"/>
      <c r="BA359" s="156"/>
      <c r="BB359" s="684"/>
      <c r="BC359" s="157"/>
      <c r="BD359" s="521"/>
      <c r="BE359" s="521"/>
      <c r="BF359" s="521"/>
      <c r="BG359" s="521"/>
      <c r="BH359" s="521"/>
      <c r="BI359" s="521"/>
      <c r="BJ359" s="795"/>
      <c r="BK359" s="523"/>
      <c r="BL359" s="521"/>
      <c r="BN359" s="343"/>
      <c r="BO359" s="343"/>
      <c r="BP359" s="343"/>
    </row>
    <row r="360" spans="1:68" ht="102">
      <c r="A360" s="149"/>
      <c r="B360" s="158"/>
      <c r="C360" s="151"/>
      <c r="D360" s="150"/>
      <c r="E360" s="767"/>
      <c r="F360" s="159"/>
      <c r="G360" s="159"/>
      <c r="H360" s="159"/>
      <c r="I360" s="170" t="s">
        <v>541</v>
      </c>
      <c r="J360" s="159" t="s">
        <v>1320</v>
      </c>
      <c r="K360" s="163" t="s">
        <v>1334</v>
      </c>
      <c r="L360" s="169"/>
      <c r="M360" s="160" t="s">
        <v>1335</v>
      </c>
      <c r="N360" s="160"/>
      <c r="O360" s="155" t="s">
        <v>1336</v>
      </c>
      <c r="P360" s="160"/>
      <c r="Q360" s="158" t="s">
        <v>715</v>
      </c>
      <c r="R360" s="158"/>
      <c r="S360" s="158" t="s">
        <v>1337</v>
      </c>
      <c r="T360" s="153"/>
      <c r="U360" s="158" t="s">
        <v>1338</v>
      </c>
      <c r="V360" s="520"/>
      <c r="W360" s="788"/>
      <c r="X360" s="159"/>
      <c r="Y360" s="158"/>
      <c r="Z360" s="158"/>
      <c r="AA360" s="158"/>
      <c r="AB360" s="158"/>
      <c r="AC360" s="502"/>
      <c r="AD360" s="695"/>
      <c r="AE360" s="159" t="s">
        <v>1339</v>
      </c>
      <c r="AF360" s="161"/>
      <c r="AG360" s="158"/>
      <c r="AH360" s="158"/>
      <c r="AI360" s="695"/>
      <c r="AJ360" s="161"/>
      <c r="AK360" s="161"/>
      <c r="AL360" s="161"/>
      <c r="AM360" s="161"/>
      <c r="AN360" s="161"/>
      <c r="AO360" s="161"/>
      <c r="AP360" s="161"/>
      <c r="AQ360" s="161"/>
      <c r="AR360" s="161"/>
      <c r="AS360" s="678"/>
      <c r="AT360" s="185"/>
      <c r="AU360" s="162" t="s">
        <v>541</v>
      </c>
      <c r="AV360" s="163"/>
      <c r="AW360" s="164" t="s">
        <v>541</v>
      </c>
      <c r="AX360" s="163"/>
      <c r="AY360" s="162"/>
      <c r="AZ360" s="164"/>
      <c r="BA360" s="163"/>
      <c r="BB360" s="695"/>
      <c r="BC360" s="165"/>
      <c r="BD360" s="522"/>
      <c r="BE360" s="522"/>
      <c r="BF360" s="522"/>
      <c r="BG360" s="522"/>
      <c r="BH360" s="522"/>
      <c r="BI360" s="522"/>
      <c r="BJ360" s="806"/>
      <c r="BK360" s="524" t="s">
        <v>541</v>
      </c>
      <c r="BL360" s="522" t="s">
        <v>541</v>
      </c>
      <c r="BN360" s="343"/>
      <c r="BO360" s="343"/>
      <c r="BP360" s="343"/>
    </row>
    <row r="361" spans="1:68">
      <c r="A361" s="149">
        <v>224</v>
      </c>
      <c r="B361" s="156" t="s">
        <v>435</v>
      </c>
      <c r="C361" s="151" t="s">
        <v>1340</v>
      </c>
      <c r="D361" s="150"/>
      <c r="E361" s="767"/>
      <c r="F361" s="173" t="s">
        <v>1996</v>
      </c>
      <c r="G361" s="152" t="s">
        <v>541</v>
      </c>
      <c r="H361" s="152" t="s">
        <v>541</v>
      </c>
      <c r="I361" s="156" t="s">
        <v>541</v>
      </c>
      <c r="J361" s="173">
        <v>251.39</v>
      </c>
      <c r="K361" s="156">
        <v>13.2</v>
      </c>
      <c r="L361" s="154">
        <v>20</v>
      </c>
      <c r="M361" s="174">
        <v>7.9000000000000001E-4</v>
      </c>
      <c r="N361" s="167">
        <v>25</v>
      </c>
      <c r="O361" s="156">
        <v>1.52E-2</v>
      </c>
      <c r="P361" s="154">
        <v>25</v>
      </c>
      <c r="Q361" s="156"/>
      <c r="R361" s="156"/>
      <c r="S361" s="153">
        <v>4.4800000000000004</v>
      </c>
      <c r="T361" s="153">
        <f t="shared" si="4"/>
        <v>30199.517204020212</v>
      </c>
      <c r="U361" s="153">
        <v>4.09</v>
      </c>
      <c r="V361" s="520">
        <f t="shared" si="5"/>
        <v>12302.687708123816</v>
      </c>
      <c r="W361" s="788"/>
      <c r="X361" s="512"/>
      <c r="Y361" s="156"/>
      <c r="Z361" s="156"/>
      <c r="AA361" s="156"/>
      <c r="AB361" s="156"/>
      <c r="AC361" s="501"/>
      <c r="AD361" s="690"/>
      <c r="AE361" s="512">
        <v>5.0000000000000001E-3</v>
      </c>
      <c r="AF361" s="174"/>
      <c r="AG361" s="156"/>
      <c r="AH361" s="156"/>
      <c r="AI361" s="690"/>
      <c r="AJ361" s="153"/>
      <c r="AK361" s="153"/>
      <c r="AL361" s="153"/>
      <c r="AM361" s="153"/>
      <c r="AN361" s="153"/>
      <c r="AO361" s="153"/>
      <c r="AP361" s="153"/>
      <c r="AQ361" s="153"/>
      <c r="AR361" s="153"/>
      <c r="AS361" s="810"/>
      <c r="AT361" s="173"/>
      <c r="AU361" s="153"/>
      <c r="AV361" s="156"/>
      <c r="AW361" s="153"/>
      <c r="AX361" s="156"/>
      <c r="AY361" s="153"/>
      <c r="AZ361" s="153"/>
      <c r="BA361" s="156"/>
      <c r="BB361" s="684"/>
      <c r="BC361" s="157"/>
      <c r="BD361" s="521"/>
      <c r="BE361" s="521"/>
      <c r="BF361" s="521"/>
      <c r="BG361" s="521"/>
      <c r="BH361" s="521"/>
      <c r="BI361" s="521"/>
      <c r="BJ361" s="795"/>
      <c r="BK361" s="523"/>
      <c r="BL361" s="521"/>
      <c r="BN361" s="343"/>
      <c r="BO361" s="343"/>
      <c r="BP361" s="343"/>
    </row>
    <row r="362" spans="1:68" ht="51">
      <c r="A362" s="149"/>
      <c r="B362" s="177"/>
      <c r="C362" s="151"/>
      <c r="D362" s="150"/>
      <c r="E362" s="767"/>
      <c r="F362" s="178"/>
      <c r="G362" s="178"/>
      <c r="H362" s="178"/>
      <c r="I362" s="170" t="s">
        <v>541</v>
      </c>
      <c r="J362" s="178" t="s">
        <v>1341</v>
      </c>
      <c r="K362" s="177" t="s">
        <v>1342</v>
      </c>
      <c r="L362" s="179"/>
      <c r="M362" s="177" t="s">
        <v>1343</v>
      </c>
      <c r="N362" s="179"/>
      <c r="O362" s="186" t="s">
        <v>1344</v>
      </c>
      <c r="P362" s="160"/>
      <c r="Q362" s="158" t="s">
        <v>715</v>
      </c>
      <c r="R362" s="158"/>
      <c r="S362" s="177" t="s">
        <v>1341</v>
      </c>
      <c r="T362" s="153"/>
      <c r="U362" s="158" t="s">
        <v>1299</v>
      </c>
      <c r="V362" s="520"/>
      <c r="W362" s="678"/>
      <c r="X362" s="159"/>
      <c r="Y362" s="158"/>
      <c r="Z362" s="158"/>
      <c r="AA362" s="158"/>
      <c r="AB362" s="158"/>
      <c r="AC362" s="502"/>
      <c r="AD362" s="695"/>
      <c r="AE362" s="159" t="s">
        <v>1345</v>
      </c>
      <c r="AF362" s="158"/>
      <c r="AG362" s="158"/>
      <c r="AH362" s="158"/>
      <c r="AI362" s="695"/>
      <c r="AJ362" s="161"/>
      <c r="AK362" s="161"/>
      <c r="AL362" s="161"/>
      <c r="AM362" s="161"/>
      <c r="AN362" s="161"/>
      <c r="AO362" s="161"/>
      <c r="AP362" s="161"/>
      <c r="AQ362" s="161"/>
      <c r="AR362" s="161"/>
      <c r="AS362" s="678"/>
      <c r="AT362" s="185"/>
      <c r="AU362" s="162" t="s">
        <v>541</v>
      </c>
      <c r="AV362" s="163"/>
      <c r="AW362" s="164" t="s">
        <v>541</v>
      </c>
      <c r="AX362" s="163"/>
      <c r="AY362" s="162" t="s">
        <v>541</v>
      </c>
      <c r="AZ362" s="164" t="s">
        <v>541</v>
      </c>
      <c r="BA362" s="163"/>
      <c r="BB362" s="695"/>
      <c r="BC362" s="165"/>
      <c r="BD362" s="522"/>
      <c r="BE362" s="522"/>
      <c r="BF362" s="522"/>
      <c r="BG362" s="522"/>
      <c r="BH362" s="522"/>
      <c r="BI362" s="522"/>
      <c r="BJ362" s="806"/>
      <c r="BK362" s="524" t="s">
        <v>541</v>
      </c>
      <c r="BL362" s="522" t="s">
        <v>541</v>
      </c>
      <c r="BN362" s="343"/>
      <c r="BO362" s="343"/>
      <c r="BP362" s="343"/>
    </row>
    <row r="363" spans="1:68">
      <c r="A363" s="149">
        <v>225</v>
      </c>
      <c r="B363" s="156" t="s">
        <v>436</v>
      </c>
      <c r="C363" s="151" t="s">
        <v>1346</v>
      </c>
      <c r="D363" s="150"/>
      <c r="E363" s="767"/>
      <c r="F363" s="173" t="s">
        <v>1996</v>
      </c>
      <c r="G363" s="152" t="s">
        <v>541</v>
      </c>
      <c r="H363" s="152" t="s">
        <v>541</v>
      </c>
      <c r="I363" s="156" t="s">
        <v>541</v>
      </c>
      <c r="J363" s="173">
        <v>203.345</v>
      </c>
      <c r="K363" s="156">
        <v>90</v>
      </c>
      <c r="L363" s="154">
        <v>20</v>
      </c>
      <c r="M363" s="174">
        <v>0.9</v>
      </c>
      <c r="N363" s="167">
        <v>20</v>
      </c>
      <c r="O363" s="156">
        <v>3.13</v>
      </c>
      <c r="P363" s="154">
        <v>25</v>
      </c>
      <c r="Q363" s="156"/>
      <c r="R363" s="156"/>
      <c r="S363" s="153">
        <v>3.84</v>
      </c>
      <c r="T363" s="153">
        <f t="shared" si="4"/>
        <v>6918.3097091893687</v>
      </c>
      <c r="U363" s="153">
        <v>2.27</v>
      </c>
      <c r="V363" s="520">
        <f t="shared" si="5"/>
        <v>186.20871366628685</v>
      </c>
      <c r="W363" s="788"/>
      <c r="X363" s="512"/>
      <c r="Y363" s="156"/>
      <c r="Z363" s="156"/>
      <c r="AA363" s="156"/>
      <c r="AB363" s="156"/>
      <c r="AC363" s="501"/>
      <c r="AD363" s="690"/>
      <c r="AE363" s="512">
        <v>1E-3</v>
      </c>
      <c r="AF363" s="174"/>
      <c r="AG363" s="156"/>
      <c r="AH363" s="156"/>
      <c r="AI363" s="690"/>
      <c r="AJ363" s="153"/>
      <c r="AK363" s="153"/>
      <c r="AL363" s="153"/>
      <c r="AM363" s="153"/>
      <c r="AN363" s="153"/>
      <c r="AO363" s="153"/>
      <c r="AP363" s="153"/>
      <c r="AQ363" s="153"/>
      <c r="AR363" s="153"/>
      <c r="AS363" s="810"/>
      <c r="AT363" s="173"/>
      <c r="AU363" s="153"/>
      <c r="AV363" s="156"/>
      <c r="AW363" s="153"/>
      <c r="AX363" s="156"/>
      <c r="AY363" s="153"/>
      <c r="AZ363" s="153"/>
      <c r="BA363" s="156"/>
      <c r="BB363" s="684"/>
      <c r="BC363" s="157"/>
      <c r="BD363" s="521"/>
      <c r="BE363" s="521"/>
      <c r="BF363" s="521"/>
      <c r="BG363" s="521"/>
      <c r="BH363" s="521"/>
      <c r="BI363" s="521"/>
      <c r="BJ363" s="795"/>
      <c r="BK363" s="523"/>
      <c r="BL363" s="521"/>
      <c r="BN363" s="343"/>
      <c r="BO363" s="343"/>
      <c r="BP363" s="343"/>
    </row>
    <row r="364" spans="1:68" ht="63.75">
      <c r="A364" s="149"/>
      <c r="B364" s="158"/>
      <c r="C364" s="151"/>
      <c r="D364" s="150"/>
      <c r="E364" s="767"/>
      <c r="F364" s="159"/>
      <c r="G364" s="159"/>
      <c r="H364" s="159"/>
      <c r="I364" s="170" t="s">
        <v>541</v>
      </c>
      <c r="J364" s="159" t="s">
        <v>1320</v>
      </c>
      <c r="K364" s="158" t="s">
        <v>1347</v>
      </c>
      <c r="L364" s="160"/>
      <c r="M364" s="160" t="s">
        <v>1348</v>
      </c>
      <c r="N364" s="160"/>
      <c r="O364" s="155" t="s">
        <v>1297</v>
      </c>
      <c r="P364" s="160"/>
      <c r="Q364" s="158" t="s">
        <v>715</v>
      </c>
      <c r="R364" s="158"/>
      <c r="S364" s="158" t="s">
        <v>1349</v>
      </c>
      <c r="T364" s="153"/>
      <c r="U364" s="158" t="s">
        <v>1350</v>
      </c>
      <c r="V364" s="520"/>
      <c r="W364" s="678"/>
      <c r="X364" s="159"/>
      <c r="Y364" s="158"/>
      <c r="Z364" s="158"/>
      <c r="AA364" s="158"/>
      <c r="AB364" s="158"/>
      <c r="AC364" s="502"/>
      <c r="AD364" s="695"/>
      <c r="AE364" s="159" t="s">
        <v>1351</v>
      </c>
      <c r="AF364" s="158"/>
      <c r="AG364" s="158"/>
      <c r="AH364" s="158"/>
      <c r="AI364" s="695"/>
      <c r="AJ364" s="161"/>
      <c r="AK364" s="161"/>
      <c r="AL364" s="161"/>
      <c r="AM364" s="161"/>
      <c r="AN364" s="161"/>
      <c r="AO364" s="161"/>
      <c r="AP364" s="161"/>
      <c r="AQ364" s="161"/>
      <c r="AR364" s="161"/>
      <c r="AS364" s="678"/>
      <c r="AT364" s="185"/>
      <c r="AU364" s="162" t="s">
        <v>541</v>
      </c>
      <c r="AV364" s="163"/>
      <c r="AW364" s="164" t="s">
        <v>541</v>
      </c>
      <c r="AX364" s="163"/>
      <c r="AY364" s="162" t="s">
        <v>541</v>
      </c>
      <c r="AZ364" s="164" t="s">
        <v>541</v>
      </c>
      <c r="BA364" s="163"/>
      <c r="BB364" s="695"/>
      <c r="BC364" s="165"/>
      <c r="BD364" s="522"/>
      <c r="BE364" s="522"/>
      <c r="BF364" s="522"/>
      <c r="BG364" s="522"/>
      <c r="BH364" s="522"/>
      <c r="BI364" s="522"/>
      <c r="BJ364" s="806"/>
      <c r="BK364" s="524" t="s">
        <v>541</v>
      </c>
      <c r="BL364" s="522" t="s">
        <v>541</v>
      </c>
      <c r="BN364" s="343"/>
      <c r="BO364" s="343"/>
      <c r="BP364" s="343"/>
    </row>
    <row r="365" spans="1:68">
      <c r="A365" s="149">
        <v>237</v>
      </c>
      <c r="B365" s="180" t="s">
        <v>448</v>
      </c>
      <c r="C365" s="151" t="s">
        <v>1061</v>
      </c>
      <c r="D365" s="150"/>
      <c r="E365" s="767"/>
      <c r="F365" s="152" t="s">
        <v>1996</v>
      </c>
      <c r="G365" s="152" t="s">
        <v>541</v>
      </c>
      <c r="H365" s="152" t="s">
        <v>541</v>
      </c>
      <c r="I365" s="148" t="s">
        <v>541</v>
      </c>
      <c r="J365" s="152">
        <v>62.067999999999998</v>
      </c>
      <c r="K365" s="156">
        <v>1000000</v>
      </c>
      <c r="L365" s="154" t="s">
        <v>541</v>
      </c>
      <c r="M365" s="174">
        <v>2.8</v>
      </c>
      <c r="N365" s="167">
        <v>10</v>
      </c>
      <c r="O365" s="174">
        <v>6.0000000000000001E-3</v>
      </c>
      <c r="P365" s="167">
        <v>25</v>
      </c>
      <c r="Q365" s="174" t="s">
        <v>541</v>
      </c>
      <c r="R365" s="174"/>
      <c r="S365" s="148">
        <v>-1.45</v>
      </c>
      <c r="T365" s="153">
        <f>10^S365</f>
        <v>3.548133892335753E-2</v>
      </c>
      <c r="U365" s="148">
        <v>-1.84</v>
      </c>
      <c r="V365" s="520">
        <f>10^U365</f>
        <v>1.4454397707459272E-2</v>
      </c>
      <c r="W365" s="787"/>
      <c r="X365" s="515"/>
      <c r="Y365" s="174"/>
      <c r="Z365" s="174"/>
      <c r="AA365" s="174"/>
      <c r="AB365" s="174"/>
      <c r="AC365" s="508"/>
      <c r="AD365" s="786"/>
      <c r="AE365" s="515">
        <v>2</v>
      </c>
      <c r="AF365" s="174">
        <v>0.4</v>
      </c>
      <c r="AG365" s="150"/>
      <c r="AH365" s="150"/>
      <c r="AI365" s="684"/>
      <c r="AJ365" s="153"/>
      <c r="AK365" s="153"/>
      <c r="AL365" s="153"/>
      <c r="AM365" s="153"/>
      <c r="AN365" s="153"/>
      <c r="AO365" s="153"/>
      <c r="AP365" s="153"/>
      <c r="AQ365" s="153"/>
      <c r="AR365" s="153"/>
      <c r="AS365" s="810"/>
      <c r="AT365" s="173"/>
      <c r="AU365" s="153"/>
      <c r="AV365" s="153"/>
      <c r="AW365" s="153"/>
      <c r="AX365" s="156"/>
      <c r="AY365" s="153"/>
      <c r="AZ365" s="153"/>
      <c r="BA365" s="153"/>
      <c r="BB365" s="684"/>
      <c r="BC365" s="157"/>
      <c r="BD365" s="521"/>
      <c r="BE365" s="521"/>
      <c r="BF365" s="521"/>
      <c r="BG365" s="521"/>
      <c r="BH365" s="521"/>
      <c r="BI365" s="521"/>
      <c r="BJ365" s="795"/>
      <c r="BK365" s="523"/>
      <c r="BL365" s="521"/>
      <c r="BN365" s="343"/>
      <c r="BO365" s="343"/>
      <c r="BP365" s="343"/>
    </row>
    <row r="366" spans="1:68" ht="102">
      <c r="A366" s="149"/>
      <c r="B366" s="158"/>
      <c r="C366" s="151"/>
      <c r="D366" s="150"/>
      <c r="E366" s="767"/>
      <c r="F366" s="159"/>
      <c r="G366" s="159"/>
      <c r="H366" s="159"/>
      <c r="I366" s="164" t="s">
        <v>541</v>
      </c>
      <c r="J366" s="159" t="s">
        <v>863</v>
      </c>
      <c r="K366" s="158" t="s">
        <v>1062</v>
      </c>
      <c r="L366" s="160"/>
      <c r="M366" s="158" t="s">
        <v>1063</v>
      </c>
      <c r="N366" s="160"/>
      <c r="O366" s="155" t="s">
        <v>1064</v>
      </c>
      <c r="P366" s="160"/>
      <c r="Q366" s="161" t="s">
        <v>715</v>
      </c>
      <c r="R366" s="161"/>
      <c r="S366" s="160" t="s">
        <v>1065</v>
      </c>
      <c r="T366" s="153"/>
      <c r="U366" s="161" t="s">
        <v>1066</v>
      </c>
      <c r="V366" s="520"/>
      <c r="W366" s="788"/>
      <c r="X366" s="175"/>
      <c r="Y366" s="163"/>
      <c r="Z366" s="163"/>
      <c r="AA366" s="163"/>
      <c r="AB366" s="163"/>
      <c r="AC366" s="507"/>
      <c r="AD366" s="788"/>
      <c r="AE366" s="175" t="s">
        <v>1067</v>
      </c>
      <c r="AF366" s="163" t="s">
        <v>1068</v>
      </c>
      <c r="AG366" s="158"/>
      <c r="AH366" s="158"/>
      <c r="AI366" s="695"/>
      <c r="AJ366" s="162"/>
      <c r="AK366" s="162"/>
      <c r="AL366" s="162"/>
      <c r="AM366" s="162"/>
      <c r="AN366" s="162"/>
      <c r="AO366" s="162"/>
      <c r="AP366" s="162"/>
      <c r="AQ366" s="162"/>
      <c r="AR366" s="162"/>
      <c r="AS366" s="811"/>
      <c r="AT366" s="527" t="s">
        <v>541</v>
      </c>
      <c r="AU366" s="162" t="s">
        <v>541</v>
      </c>
      <c r="AV366" s="164" t="s">
        <v>541</v>
      </c>
      <c r="AW366" s="164" t="s">
        <v>541</v>
      </c>
      <c r="AX366" s="164" t="s">
        <v>541</v>
      </c>
      <c r="AY366" s="162" t="s">
        <v>541</v>
      </c>
      <c r="AZ366" s="164" t="s">
        <v>541</v>
      </c>
      <c r="BA366" s="162" t="s">
        <v>541</v>
      </c>
      <c r="BB366" s="695"/>
      <c r="BC366" s="165"/>
      <c r="BD366" s="522"/>
      <c r="BE366" s="522"/>
      <c r="BF366" s="522"/>
      <c r="BG366" s="522"/>
      <c r="BH366" s="522"/>
      <c r="BI366" s="522"/>
      <c r="BJ366" s="806"/>
      <c r="BK366" s="524" t="s">
        <v>541</v>
      </c>
      <c r="BL366" s="522" t="s">
        <v>541</v>
      </c>
      <c r="BN366" s="343"/>
      <c r="BO366" s="343"/>
      <c r="BP366" s="343"/>
    </row>
    <row r="367" spans="1:68" ht="15">
      <c r="A367" s="191">
        <v>238</v>
      </c>
      <c r="B367" s="212" t="s">
        <v>1399</v>
      </c>
      <c r="C367" s="73" t="s">
        <v>1404</v>
      </c>
      <c r="D367" s="485"/>
      <c r="E367" s="728"/>
      <c r="F367" s="150" t="s">
        <v>1996</v>
      </c>
      <c r="G367" s="150" t="s">
        <v>1996</v>
      </c>
      <c r="H367" s="150" t="s">
        <v>1416</v>
      </c>
      <c r="I367" s="150">
        <v>5.0999999999999996</v>
      </c>
      <c r="J367" s="150">
        <v>121.18</v>
      </c>
      <c r="K367" s="153">
        <v>1540</v>
      </c>
      <c r="L367" s="191">
        <v>20</v>
      </c>
      <c r="M367" s="182">
        <v>93.32</v>
      </c>
      <c r="N367" s="191">
        <v>25</v>
      </c>
      <c r="O367" s="2">
        <v>5.7549999999999999</v>
      </c>
      <c r="P367" s="191">
        <v>20</v>
      </c>
      <c r="Q367" s="174" t="s">
        <v>541</v>
      </c>
      <c r="R367" s="174"/>
      <c r="S367" s="153">
        <v>2.31</v>
      </c>
      <c r="T367" s="153">
        <f>10^S367</f>
        <v>204.17379446695315</v>
      </c>
      <c r="U367" s="153">
        <v>2.13</v>
      </c>
      <c r="V367" s="520">
        <f>10^U367</f>
        <v>134.89628825916537</v>
      </c>
      <c r="X367" s="512"/>
      <c r="Y367" s="156"/>
      <c r="Z367" s="156"/>
      <c r="AA367" s="156"/>
      <c r="AB367" s="156"/>
      <c r="AC367" s="501"/>
      <c r="AD367" s="690"/>
      <c r="AE367" s="512">
        <v>2E-3</v>
      </c>
      <c r="AF367" s="191"/>
      <c r="AG367" s="156"/>
      <c r="AH367" s="156"/>
      <c r="AJ367" s="193"/>
      <c r="AK367" s="193"/>
      <c r="AL367" s="193"/>
      <c r="AM367" s="193"/>
      <c r="AN367" s="193"/>
      <c r="AO367" s="193"/>
      <c r="AP367" s="193"/>
      <c r="AQ367" s="193"/>
      <c r="AR367" s="193"/>
      <c r="AT367" s="526"/>
      <c r="AU367" s="193"/>
      <c r="AV367" s="193"/>
      <c r="AW367" s="193"/>
      <c r="AX367" s="193"/>
      <c r="AY367" s="193"/>
      <c r="AZ367" s="193"/>
      <c r="BA367" s="193"/>
      <c r="BC367" s="191"/>
      <c r="BD367" s="486"/>
      <c r="BE367" s="486"/>
      <c r="BF367" s="486"/>
      <c r="BG367" s="486"/>
      <c r="BH367" s="486"/>
      <c r="BI367" s="486"/>
      <c r="BK367" s="516"/>
      <c r="BL367" s="486"/>
      <c r="BN367" s="343"/>
      <c r="BO367" s="343"/>
      <c r="BP367" s="343"/>
    </row>
    <row r="368" spans="1:68" ht="51">
      <c r="A368" s="191"/>
      <c r="B368" s="191"/>
      <c r="C368" s="486"/>
      <c r="D368" s="191"/>
      <c r="E368" s="728"/>
      <c r="F368" s="158"/>
      <c r="G368" s="158"/>
      <c r="H368" s="158"/>
      <c r="I368" s="158" t="s">
        <v>1414</v>
      </c>
      <c r="J368" s="158" t="s">
        <v>1406</v>
      </c>
      <c r="K368" s="160" t="s">
        <v>1408</v>
      </c>
      <c r="L368" s="191"/>
      <c r="M368" s="160" t="s">
        <v>1409</v>
      </c>
      <c r="N368" s="191"/>
      <c r="O368" s="2" t="s">
        <v>1420</v>
      </c>
      <c r="P368" s="191"/>
      <c r="Q368" s="161" t="s">
        <v>715</v>
      </c>
      <c r="R368" s="161"/>
      <c r="S368" s="158" t="s">
        <v>1411</v>
      </c>
      <c r="T368" s="191"/>
      <c r="U368" s="160" t="s">
        <v>1412</v>
      </c>
      <c r="V368" s="486"/>
      <c r="X368" s="159"/>
      <c r="Y368" s="158"/>
      <c r="Z368" s="158"/>
      <c r="AA368" s="158"/>
      <c r="AB368" s="158"/>
      <c r="AC368" s="502"/>
      <c r="AD368" s="695"/>
      <c r="AE368" s="159" t="s">
        <v>1417</v>
      </c>
      <c r="AF368" s="191"/>
      <c r="AG368" s="158"/>
      <c r="AH368" s="158"/>
      <c r="AJ368" s="193"/>
      <c r="AK368" s="193"/>
      <c r="AL368" s="193"/>
      <c r="AM368" s="193"/>
      <c r="AN368" s="193"/>
      <c r="AO368" s="193"/>
      <c r="AP368" s="193"/>
      <c r="AQ368" s="193"/>
      <c r="AR368" s="193"/>
      <c r="AT368" s="526"/>
      <c r="AU368" s="193"/>
      <c r="AV368" s="193"/>
      <c r="AW368" s="193"/>
      <c r="AX368" s="193"/>
      <c r="AY368" s="193"/>
      <c r="AZ368" s="193"/>
      <c r="BA368" s="193"/>
      <c r="BC368" s="191"/>
      <c r="BD368" s="486"/>
      <c r="BE368" s="486"/>
      <c r="BF368" s="486"/>
      <c r="BG368" s="486"/>
      <c r="BH368" s="486"/>
      <c r="BI368" s="486"/>
      <c r="BK368" s="516"/>
      <c r="BL368" s="486"/>
      <c r="BN368" s="343"/>
      <c r="BO368" s="343"/>
      <c r="BP368" s="343"/>
    </row>
    <row r="369" spans="1:68" ht="15">
      <c r="A369" s="191">
        <v>241</v>
      </c>
      <c r="B369" s="212" t="s">
        <v>1402</v>
      </c>
      <c r="C369" s="222" t="s">
        <v>1405</v>
      </c>
      <c r="D369" s="213"/>
      <c r="E369" s="728"/>
      <c r="F369" s="150" t="s">
        <v>1996</v>
      </c>
      <c r="G369" s="150" t="s">
        <v>1996</v>
      </c>
      <c r="H369" s="150" t="s">
        <v>1416</v>
      </c>
      <c r="I369" s="150">
        <v>4.4400000000000004</v>
      </c>
      <c r="J369" s="150">
        <v>107.15300000000001</v>
      </c>
      <c r="K369" s="150">
        <v>16330</v>
      </c>
      <c r="L369" s="191">
        <v>20</v>
      </c>
      <c r="M369" s="183">
        <v>34.659999999999997</v>
      </c>
      <c r="N369" s="191">
        <v>25</v>
      </c>
      <c r="O369" s="2">
        <v>0.20100000000000001</v>
      </c>
      <c r="P369" s="191">
        <v>20</v>
      </c>
      <c r="Q369" s="174" t="s">
        <v>541</v>
      </c>
      <c r="R369" s="174"/>
      <c r="S369" s="153">
        <v>1.32</v>
      </c>
      <c r="T369" s="153">
        <f>10^S369</f>
        <v>20.8929613085404</v>
      </c>
      <c r="U369" s="153">
        <v>1.24</v>
      </c>
      <c r="V369" s="520">
        <f>10^U369</f>
        <v>17.378008287493756</v>
      </c>
      <c r="X369" s="512"/>
      <c r="Y369" s="156"/>
      <c r="Z369" s="156"/>
      <c r="AA369" s="156"/>
      <c r="AB369" s="156"/>
      <c r="AC369" s="501"/>
      <c r="AD369" s="690"/>
      <c r="AE369" s="512"/>
      <c r="AF369" s="191"/>
      <c r="AG369" s="156">
        <v>5.5500000000000001E-5</v>
      </c>
      <c r="AH369" s="156">
        <v>1.9599999999999999E-4</v>
      </c>
      <c r="AJ369" s="193"/>
      <c r="AK369" s="193"/>
      <c r="AL369" s="193"/>
      <c r="AM369" s="193"/>
      <c r="AN369" s="193"/>
      <c r="AO369" s="193"/>
      <c r="AP369" s="193"/>
      <c r="AQ369" s="193"/>
      <c r="AR369" s="193"/>
      <c r="AT369" s="526"/>
      <c r="AU369" s="193"/>
      <c r="AV369" s="193"/>
      <c r="AW369" s="193"/>
      <c r="AX369" s="193"/>
      <c r="AY369" s="193"/>
      <c r="AZ369" s="193"/>
      <c r="BA369" s="193"/>
      <c r="BC369" s="191"/>
      <c r="BD369" s="486"/>
      <c r="BE369" s="486"/>
      <c r="BF369" s="486"/>
      <c r="BG369" s="486"/>
      <c r="BH369" s="486"/>
      <c r="BI369" s="486"/>
      <c r="BK369" s="516"/>
      <c r="BL369" s="486"/>
      <c r="BN369" s="343"/>
      <c r="BO369" s="343"/>
      <c r="BP369" s="343"/>
    </row>
    <row r="370" spans="1:68" ht="76.5">
      <c r="A370" s="191"/>
      <c r="B370" s="191"/>
      <c r="C370" s="486"/>
      <c r="D370" s="191"/>
      <c r="E370" s="728"/>
      <c r="F370" s="158"/>
      <c r="G370" s="158"/>
      <c r="H370" s="158"/>
      <c r="I370" s="158" t="s">
        <v>1415</v>
      </c>
      <c r="J370" s="158" t="s">
        <v>1407</v>
      </c>
      <c r="K370" s="160" t="s">
        <v>1408</v>
      </c>
      <c r="L370" s="191"/>
      <c r="M370" s="160" t="s">
        <v>1410</v>
      </c>
      <c r="N370" s="191"/>
      <c r="O370" s="468" t="s">
        <v>1421</v>
      </c>
      <c r="P370" s="191"/>
      <c r="Q370" s="161" t="s">
        <v>715</v>
      </c>
      <c r="R370" s="161"/>
      <c r="S370" s="158" t="s">
        <v>1411</v>
      </c>
      <c r="T370" s="191"/>
      <c r="U370" s="160" t="s">
        <v>1413</v>
      </c>
      <c r="V370" s="486"/>
      <c r="X370" s="159"/>
      <c r="Y370" s="158"/>
      <c r="Z370" s="158"/>
      <c r="AA370" s="158"/>
      <c r="AB370" s="158"/>
      <c r="AC370" s="502"/>
      <c r="AD370" s="695"/>
      <c r="AE370" s="159"/>
      <c r="AF370" s="191"/>
      <c r="AG370" s="158" t="s">
        <v>1418</v>
      </c>
      <c r="AH370" s="158" t="s">
        <v>1419</v>
      </c>
      <c r="AJ370" s="193"/>
      <c r="AK370" s="193"/>
      <c r="AL370" s="193"/>
      <c r="AM370" s="193"/>
      <c r="AN370" s="193"/>
      <c r="AO370" s="193"/>
      <c r="AP370" s="193"/>
      <c r="AQ370" s="193"/>
      <c r="AR370" s="193"/>
      <c r="AT370" s="526"/>
      <c r="AU370" s="193"/>
      <c r="AV370" s="193"/>
      <c r="AW370" s="193"/>
      <c r="AX370" s="193"/>
      <c r="AY370" s="193"/>
      <c r="AZ370" s="193"/>
      <c r="BA370" s="193"/>
      <c r="BC370" s="191"/>
      <c r="BD370" s="486"/>
      <c r="BE370" s="486"/>
      <c r="BF370" s="486"/>
      <c r="BG370" s="486"/>
      <c r="BH370" s="486"/>
      <c r="BI370" s="486"/>
      <c r="BK370" s="516"/>
      <c r="BL370" s="486"/>
      <c r="BN370" s="343"/>
      <c r="BO370" s="343"/>
      <c r="BP370" s="343"/>
    </row>
    <row r="371" spans="1:68" s="194" customFormat="1" ht="15">
      <c r="A371" s="452">
        <v>254</v>
      </c>
      <c r="B371" s="213" t="s">
        <v>1798</v>
      </c>
      <c r="C371" s="487" t="s">
        <v>2052</v>
      </c>
      <c r="D371" s="314"/>
      <c r="E371" s="728"/>
      <c r="F371" s="307"/>
      <c r="G371" s="307"/>
      <c r="H371" s="307"/>
      <c r="I371" s="307"/>
      <c r="J371" s="307"/>
      <c r="K371" s="307"/>
      <c r="L371" s="307"/>
      <c r="M371" s="307"/>
      <c r="N371" s="307"/>
      <c r="O371" s="307"/>
      <c r="P371" s="307"/>
      <c r="Q371" s="307"/>
      <c r="R371" s="307"/>
      <c r="S371" s="307"/>
      <c r="T371" s="307"/>
      <c r="U371" s="307"/>
      <c r="V371" s="498"/>
      <c r="W371" s="674"/>
      <c r="X371" s="510"/>
      <c r="Y371" s="307"/>
      <c r="Z371" s="307"/>
      <c r="AA371" s="307"/>
      <c r="AB371" s="307"/>
      <c r="AC371" s="498"/>
      <c r="AD371" s="674"/>
      <c r="AE371" s="510"/>
      <c r="AF371" s="307"/>
      <c r="AG371" s="307"/>
      <c r="AH371" s="307"/>
      <c r="AI371" s="674"/>
      <c r="AJ371" s="191"/>
      <c r="AK371" s="191"/>
      <c r="AL371" s="191"/>
      <c r="AM371" s="191"/>
      <c r="AN371" s="191"/>
      <c r="AO371" s="191"/>
      <c r="AP371" s="191"/>
      <c r="AQ371" s="191"/>
      <c r="AR371" s="191"/>
      <c r="AS371" s="674"/>
      <c r="AT371" s="516"/>
      <c r="AU371" s="191"/>
      <c r="AV371" s="191"/>
      <c r="AW371" s="191"/>
      <c r="AX371" s="191"/>
      <c r="AY371" s="191"/>
      <c r="AZ371" s="191"/>
      <c r="BA371" s="191"/>
      <c r="BB371" s="674"/>
      <c r="BC371" s="191"/>
      <c r="BD371" s="486"/>
      <c r="BE371" s="486"/>
      <c r="BF371" s="486"/>
      <c r="BG371" s="486"/>
      <c r="BH371" s="486"/>
      <c r="BI371" s="486"/>
      <c r="BJ371" s="674"/>
      <c r="BK371" s="516"/>
      <c r="BL371" s="486"/>
      <c r="BM371" s="674"/>
      <c r="BN371" s="191"/>
      <c r="BO371" s="191"/>
      <c r="BP371" s="191"/>
    </row>
    <row r="372" spans="1:68" s="194" customFormat="1" ht="15">
      <c r="A372" s="452"/>
      <c r="B372" s="213"/>
      <c r="C372" s="487"/>
      <c r="D372" s="314"/>
      <c r="E372" s="728"/>
      <c r="F372" s="307"/>
      <c r="G372" s="307"/>
      <c r="H372" s="307"/>
      <c r="I372" s="307"/>
      <c r="J372" s="307"/>
      <c r="K372" s="307"/>
      <c r="L372" s="307"/>
      <c r="M372" s="307"/>
      <c r="N372" s="307"/>
      <c r="O372" s="307"/>
      <c r="P372" s="307"/>
      <c r="Q372" s="307"/>
      <c r="R372" s="307"/>
      <c r="S372" s="307"/>
      <c r="T372" s="307"/>
      <c r="U372" s="307"/>
      <c r="V372" s="498"/>
      <c r="W372" s="674"/>
      <c r="X372" s="510"/>
      <c r="Y372" s="307"/>
      <c r="Z372" s="307"/>
      <c r="AA372" s="307"/>
      <c r="AB372" s="307"/>
      <c r="AC372" s="498"/>
      <c r="AD372" s="674"/>
      <c r="AE372" s="510"/>
      <c r="AF372" s="307"/>
      <c r="AG372" s="307"/>
      <c r="AH372" s="307"/>
      <c r="AI372" s="674"/>
      <c r="AJ372" s="191"/>
      <c r="AK372" s="191"/>
      <c r="AL372" s="191"/>
      <c r="AM372" s="191"/>
      <c r="AN372" s="191"/>
      <c r="AO372" s="191"/>
      <c r="AP372" s="191"/>
      <c r="AQ372" s="191"/>
      <c r="AR372" s="191"/>
      <c r="AS372" s="674"/>
      <c r="AT372" s="516"/>
      <c r="AU372" s="191"/>
      <c r="AV372" s="191"/>
      <c r="AW372" s="191"/>
      <c r="AX372" s="191"/>
      <c r="AY372" s="191"/>
      <c r="AZ372" s="191"/>
      <c r="BA372" s="191"/>
      <c r="BB372" s="674"/>
      <c r="BC372" s="191"/>
      <c r="BD372" s="486"/>
      <c r="BE372" s="486"/>
      <c r="BF372" s="486"/>
      <c r="BG372" s="486"/>
      <c r="BH372" s="486"/>
      <c r="BI372" s="486"/>
      <c r="BJ372" s="674"/>
      <c r="BK372" s="516"/>
      <c r="BL372" s="486"/>
      <c r="BM372" s="674"/>
      <c r="BN372" s="191"/>
      <c r="BO372" s="191"/>
      <c r="BP372" s="191"/>
    </row>
    <row r="373" spans="1:68" s="194" customFormat="1" ht="15">
      <c r="A373" s="452">
        <v>255</v>
      </c>
      <c r="B373" s="213" t="s">
        <v>1799</v>
      </c>
      <c r="C373" s="487" t="s">
        <v>2053</v>
      </c>
      <c r="D373" s="314"/>
      <c r="E373" s="728"/>
      <c r="F373" s="307"/>
      <c r="G373" s="307"/>
      <c r="H373" s="307"/>
      <c r="I373" s="307"/>
      <c r="J373" s="307"/>
      <c r="K373" s="307"/>
      <c r="L373" s="307"/>
      <c r="M373" s="307"/>
      <c r="N373" s="307"/>
      <c r="O373" s="307"/>
      <c r="P373" s="307"/>
      <c r="Q373" s="307"/>
      <c r="R373" s="307"/>
      <c r="S373" s="307"/>
      <c r="T373" s="307"/>
      <c r="U373" s="307"/>
      <c r="V373" s="498"/>
      <c r="W373" s="674"/>
      <c r="X373" s="510"/>
      <c r="Y373" s="307"/>
      <c r="Z373" s="307"/>
      <c r="AA373" s="307"/>
      <c r="AB373" s="307"/>
      <c r="AC373" s="498"/>
      <c r="AD373" s="674"/>
      <c r="AE373" s="510"/>
      <c r="AF373" s="307"/>
      <c r="AG373" s="307"/>
      <c r="AH373" s="307"/>
      <c r="AI373" s="674"/>
      <c r="AJ373" s="191"/>
      <c r="AK373" s="191"/>
      <c r="AL373" s="191"/>
      <c r="AM373" s="191"/>
      <c r="AN373" s="191"/>
      <c r="AO373" s="191"/>
      <c r="AP373" s="191"/>
      <c r="AQ373" s="191"/>
      <c r="AR373" s="191"/>
      <c r="AS373" s="674"/>
      <c r="AT373" s="516"/>
      <c r="AU373" s="191"/>
      <c r="AV373" s="191"/>
      <c r="AW373" s="191"/>
      <c r="AX373" s="191"/>
      <c r="AY373" s="191"/>
      <c r="AZ373" s="191"/>
      <c r="BA373" s="191"/>
      <c r="BB373" s="674"/>
      <c r="BC373" s="191"/>
      <c r="BD373" s="486"/>
      <c r="BE373" s="486"/>
      <c r="BF373" s="486"/>
      <c r="BG373" s="486"/>
      <c r="BH373" s="486"/>
      <c r="BI373" s="486"/>
      <c r="BJ373" s="674"/>
      <c r="BK373" s="516"/>
      <c r="BL373" s="486"/>
      <c r="BM373" s="674"/>
      <c r="BN373" s="191"/>
      <c r="BO373" s="191"/>
      <c r="BP373" s="191"/>
    </row>
    <row r="374" spans="1:68" s="194" customFormat="1" ht="15">
      <c r="A374" s="452"/>
      <c r="B374" s="213"/>
      <c r="C374" s="487"/>
      <c r="D374" s="314"/>
      <c r="E374" s="728"/>
      <c r="F374" s="307"/>
      <c r="G374" s="307"/>
      <c r="H374" s="307"/>
      <c r="I374" s="307"/>
      <c r="J374" s="307"/>
      <c r="K374" s="307"/>
      <c r="L374" s="307"/>
      <c r="M374" s="307"/>
      <c r="N374" s="307"/>
      <c r="O374" s="307"/>
      <c r="P374" s="307"/>
      <c r="Q374" s="307"/>
      <c r="R374" s="307"/>
      <c r="S374" s="307"/>
      <c r="T374" s="307"/>
      <c r="U374" s="307"/>
      <c r="V374" s="498"/>
      <c r="W374" s="674"/>
      <c r="X374" s="510"/>
      <c r="Y374" s="307"/>
      <c r="Z374" s="307"/>
      <c r="AA374" s="307"/>
      <c r="AB374" s="307"/>
      <c r="AC374" s="498"/>
      <c r="AD374" s="674"/>
      <c r="AE374" s="510"/>
      <c r="AF374" s="307"/>
      <c r="AG374" s="307"/>
      <c r="AH374" s="307"/>
      <c r="AI374" s="674"/>
      <c r="AJ374" s="191"/>
      <c r="AK374" s="191"/>
      <c r="AL374" s="191"/>
      <c r="AM374" s="191"/>
      <c r="AN374" s="191"/>
      <c r="AO374" s="191"/>
      <c r="AP374" s="191"/>
      <c r="AQ374" s="191"/>
      <c r="AR374" s="191"/>
      <c r="AS374" s="674"/>
      <c r="AT374" s="516"/>
      <c r="AU374" s="191"/>
      <c r="AV374" s="191"/>
      <c r="AW374" s="191"/>
      <c r="AX374" s="191"/>
      <c r="AY374" s="191"/>
      <c r="AZ374" s="191"/>
      <c r="BA374" s="191"/>
      <c r="BB374" s="674"/>
      <c r="BC374" s="191"/>
      <c r="BD374" s="486"/>
      <c r="BE374" s="486"/>
      <c r="BF374" s="486"/>
      <c r="BG374" s="486"/>
      <c r="BH374" s="486"/>
      <c r="BI374" s="486"/>
      <c r="BJ374" s="674"/>
      <c r="BK374" s="516"/>
      <c r="BL374" s="486"/>
      <c r="BM374" s="674"/>
      <c r="BN374" s="191"/>
      <c r="BO374" s="191"/>
      <c r="BP374" s="191"/>
    </row>
    <row r="375" spans="1:68" s="194" customFormat="1" ht="15">
      <c r="A375" s="452">
        <v>256</v>
      </c>
      <c r="B375" s="213" t="s">
        <v>1800</v>
      </c>
      <c r="C375" s="487" t="s">
        <v>2054</v>
      </c>
      <c r="D375" s="314"/>
      <c r="E375" s="728"/>
      <c r="F375" s="307"/>
      <c r="G375" s="307"/>
      <c r="H375" s="307"/>
      <c r="I375" s="307"/>
      <c r="J375" s="307"/>
      <c r="K375" s="307"/>
      <c r="L375" s="307"/>
      <c r="M375" s="307"/>
      <c r="N375" s="307"/>
      <c r="O375" s="307"/>
      <c r="P375" s="307"/>
      <c r="Q375" s="307"/>
      <c r="R375" s="307"/>
      <c r="S375" s="307"/>
      <c r="T375" s="307"/>
      <c r="U375" s="307"/>
      <c r="V375" s="498"/>
      <c r="W375" s="674"/>
      <c r="X375" s="510"/>
      <c r="Y375" s="307"/>
      <c r="Z375" s="307"/>
      <c r="AA375" s="307"/>
      <c r="AB375" s="307"/>
      <c r="AC375" s="498"/>
      <c r="AD375" s="674"/>
      <c r="AE375" s="510"/>
      <c r="AF375" s="307"/>
      <c r="AG375" s="307"/>
      <c r="AH375" s="307"/>
      <c r="AI375" s="674"/>
      <c r="AJ375" s="191"/>
      <c r="AK375" s="191"/>
      <c r="AL375" s="191"/>
      <c r="AM375" s="191"/>
      <c r="AN375" s="191"/>
      <c r="AO375" s="191"/>
      <c r="AP375" s="191"/>
      <c r="AQ375" s="191"/>
      <c r="AR375" s="191"/>
      <c r="AS375" s="674"/>
      <c r="AT375" s="516"/>
      <c r="AU375" s="191"/>
      <c r="AV375" s="191"/>
      <c r="AW375" s="191"/>
      <c r="AX375" s="191"/>
      <c r="AY375" s="191"/>
      <c r="AZ375" s="191"/>
      <c r="BA375" s="191"/>
      <c r="BB375" s="674"/>
      <c r="BC375" s="191"/>
      <c r="BD375" s="486"/>
      <c r="BE375" s="486"/>
      <c r="BF375" s="486"/>
      <c r="BG375" s="486"/>
      <c r="BH375" s="486"/>
      <c r="BI375" s="486"/>
      <c r="BJ375" s="674"/>
      <c r="BK375" s="516"/>
      <c r="BL375" s="486"/>
      <c r="BM375" s="674"/>
      <c r="BN375" s="191"/>
      <c r="BO375" s="191"/>
      <c r="BP375" s="191"/>
    </row>
    <row r="376" spans="1:68" s="194" customFormat="1" ht="15">
      <c r="A376" s="452"/>
      <c r="B376" s="213"/>
      <c r="C376" s="487"/>
      <c r="D376" s="314"/>
      <c r="E376" s="728"/>
      <c r="F376" s="307"/>
      <c r="G376" s="307"/>
      <c r="H376" s="307"/>
      <c r="I376" s="307"/>
      <c r="J376" s="307"/>
      <c r="K376" s="307"/>
      <c r="L376" s="307"/>
      <c r="M376" s="307"/>
      <c r="N376" s="307"/>
      <c r="O376" s="307"/>
      <c r="P376" s="307"/>
      <c r="Q376" s="307"/>
      <c r="R376" s="307"/>
      <c r="S376" s="307"/>
      <c r="T376" s="307"/>
      <c r="U376" s="307"/>
      <c r="V376" s="498"/>
      <c r="W376" s="674"/>
      <c r="X376" s="510"/>
      <c r="Y376" s="307"/>
      <c r="Z376" s="307"/>
      <c r="AA376" s="307"/>
      <c r="AB376" s="307"/>
      <c r="AC376" s="498"/>
      <c r="AD376" s="674"/>
      <c r="AE376" s="510"/>
      <c r="AF376" s="307"/>
      <c r="AG376" s="307"/>
      <c r="AH376" s="307"/>
      <c r="AI376" s="674"/>
      <c r="AJ376" s="191"/>
      <c r="AK376" s="191"/>
      <c r="AL376" s="191"/>
      <c r="AM376" s="191"/>
      <c r="AN376" s="191"/>
      <c r="AO376" s="191"/>
      <c r="AP376" s="191"/>
      <c r="AQ376" s="191"/>
      <c r="AR376" s="191"/>
      <c r="AS376" s="674"/>
      <c r="AT376" s="516"/>
      <c r="AU376" s="191"/>
      <c r="AV376" s="191"/>
      <c r="AW376" s="191"/>
      <c r="AX376" s="191"/>
      <c r="AY376" s="191"/>
      <c r="AZ376" s="191"/>
      <c r="BA376" s="191"/>
      <c r="BB376" s="674"/>
      <c r="BC376" s="191"/>
      <c r="BD376" s="486"/>
      <c r="BE376" s="486"/>
      <c r="BF376" s="486"/>
      <c r="BG376" s="486"/>
      <c r="BH376" s="486"/>
      <c r="BI376" s="486"/>
      <c r="BJ376" s="674"/>
      <c r="BK376" s="516"/>
      <c r="BL376" s="486"/>
      <c r="BM376" s="674"/>
      <c r="BN376" s="191"/>
      <c r="BO376" s="191"/>
      <c r="BP376" s="191"/>
    </row>
    <row r="377" spans="1:68" s="194" customFormat="1" ht="15">
      <c r="A377" s="535">
        <v>257</v>
      </c>
      <c r="B377" s="536" t="s">
        <v>1801</v>
      </c>
      <c r="C377" s="538" t="s">
        <v>2055</v>
      </c>
      <c r="D377" s="537"/>
      <c r="E377" s="728"/>
      <c r="F377" s="307"/>
      <c r="G377" s="307"/>
      <c r="H377" s="307"/>
      <c r="I377" s="307"/>
      <c r="J377" s="307"/>
      <c r="K377" s="307"/>
      <c r="L377" s="307"/>
      <c r="M377" s="307"/>
      <c r="N377" s="307"/>
      <c r="O377" s="307"/>
      <c r="P377" s="307"/>
      <c r="Q377" s="307"/>
      <c r="R377" s="307"/>
      <c r="S377" s="307"/>
      <c r="T377" s="307"/>
      <c r="U377" s="307"/>
      <c r="V377" s="498"/>
      <c r="W377" s="674"/>
      <c r="X377" s="510"/>
      <c r="Y377" s="307"/>
      <c r="Z377" s="307"/>
      <c r="AA377" s="307"/>
      <c r="AB377" s="307"/>
      <c r="AC377" s="498"/>
      <c r="AD377" s="674"/>
      <c r="AE377" s="510"/>
      <c r="AF377" s="307"/>
      <c r="AG377" s="307"/>
      <c r="AH377" s="307"/>
      <c r="AI377" s="674"/>
      <c r="AJ377" s="191"/>
      <c r="AK377" s="191"/>
      <c r="AL377" s="191"/>
      <c r="AM377" s="191"/>
      <c r="AN377" s="191"/>
      <c r="AO377" s="191"/>
      <c r="AP377" s="191"/>
      <c r="AQ377" s="191"/>
      <c r="AR377" s="191"/>
      <c r="AS377" s="674"/>
      <c r="AT377" s="516"/>
      <c r="AU377" s="191"/>
      <c r="AV377" s="191"/>
      <c r="AW377" s="191"/>
      <c r="AX377" s="191"/>
      <c r="AY377" s="191"/>
      <c r="AZ377" s="191"/>
      <c r="BA377" s="191"/>
      <c r="BB377" s="674"/>
      <c r="BC377" s="191"/>
      <c r="BD377" s="486"/>
      <c r="BE377" s="486"/>
      <c r="BF377" s="486"/>
      <c r="BG377" s="486"/>
      <c r="BH377" s="486"/>
      <c r="BI377" s="486"/>
      <c r="BJ377" s="674"/>
      <c r="BK377" s="516"/>
      <c r="BL377" s="486"/>
      <c r="BM377" s="674"/>
      <c r="BN377" s="191"/>
      <c r="BO377" s="191"/>
      <c r="BP377" s="191"/>
    </row>
    <row r="378" spans="1:68" s="194" customFormat="1">
      <c r="A378" s="531"/>
      <c r="B378" s="531"/>
      <c r="C378" s="531"/>
      <c r="D378" s="531"/>
      <c r="E378" s="728"/>
      <c r="F378" s="494"/>
      <c r="G378" s="494"/>
      <c r="H378" s="494"/>
      <c r="I378" s="494"/>
      <c r="J378" s="494"/>
      <c r="K378" s="494"/>
      <c r="L378" s="494"/>
      <c r="M378" s="494"/>
      <c r="N378" s="494"/>
      <c r="O378" s="494"/>
      <c r="P378" s="494"/>
      <c r="Q378" s="494"/>
      <c r="R378" s="494"/>
      <c r="S378" s="494"/>
      <c r="T378" s="494"/>
      <c r="U378" s="494"/>
      <c r="V378" s="509"/>
      <c r="W378" s="674"/>
      <c r="X378" s="517"/>
      <c r="Y378" s="494"/>
      <c r="Z378" s="494"/>
      <c r="AA378" s="494"/>
      <c r="AB378" s="494"/>
      <c r="AC378" s="509"/>
      <c r="AD378" s="674"/>
      <c r="AE378" s="517"/>
      <c r="AF378" s="494"/>
      <c r="AG378" s="494"/>
      <c r="AH378" s="494"/>
      <c r="AI378" s="674"/>
      <c r="AJ378" s="492"/>
      <c r="AK378" s="492"/>
      <c r="AL378" s="492"/>
      <c r="AM378" s="492"/>
      <c r="AN378" s="492"/>
      <c r="AO378" s="492"/>
      <c r="AP378" s="492"/>
      <c r="AQ378" s="492"/>
      <c r="AR378" s="492"/>
      <c r="AS378" s="674"/>
      <c r="AT378" s="525"/>
      <c r="AU378" s="492"/>
      <c r="AV378" s="492"/>
      <c r="AW378" s="492"/>
      <c r="AX378" s="492"/>
      <c r="AY378" s="492"/>
      <c r="AZ378" s="492"/>
      <c r="BA378" s="492"/>
      <c r="BB378" s="674"/>
      <c r="BC378" s="492"/>
      <c r="BD378" s="493"/>
      <c r="BE378" s="493"/>
      <c r="BF378" s="493"/>
      <c r="BG378" s="493"/>
      <c r="BH378" s="493"/>
      <c r="BI378" s="493"/>
      <c r="BJ378" s="674"/>
      <c r="BK378" s="525"/>
      <c r="BL378" s="493"/>
      <c r="BM378" s="674"/>
      <c r="BN378" s="191"/>
      <c r="BO378" s="191"/>
      <c r="BP378" s="191"/>
    </row>
    <row r="379" spans="1:68" s="727" customFormat="1" ht="25.5">
      <c r="A379" s="725">
        <v>258</v>
      </c>
      <c r="B379" s="916" t="s">
        <v>1899</v>
      </c>
      <c r="C379" s="916" t="s">
        <v>2378</v>
      </c>
      <c r="D379" s="934" t="s">
        <v>2379</v>
      </c>
      <c r="E379" s="728"/>
      <c r="F379" s="769" t="s">
        <v>1996</v>
      </c>
      <c r="G379" s="769" t="s">
        <v>1996</v>
      </c>
      <c r="H379" s="769" t="s">
        <v>1416</v>
      </c>
      <c r="I379" s="935">
        <v>9.6</v>
      </c>
      <c r="J379" s="914">
        <v>228.28700000000001</v>
      </c>
      <c r="K379" s="917">
        <v>120</v>
      </c>
      <c r="L379" s="917">
        <v>25</v>
      </c>
      <c r="M379" s="936">
        <v>5.2129058399999993E-5</v>
      </c>
      <c r="N379" s="917">
        <v>25</v>
      </c>
      <c r="O379" s="937">
        <v>4.053E-6</v>
      </c>
      <c r="P379" s="917">
        <v>25</v>
      </c>
      <c r="Q379" s="769" t="s">
        <v>541</v>
      </c>
      <c r="R379" s="769"/>
      <c r="S379" s="930">
        <v>3.32</v>
      </c>
      <c r="T379" s="938">
        <f>10^S379</f>
        <v>2089.2961308540398</v>
      </c>
      <c r="U379" s="930">
        <v>2.9444826721501687</v>
      </c>
      <c r="V379" s="939">
        <f>10^U379</f>
        <v>880.00000000000057</v>
      </c>
      <c r="W379" s="674"/>
      <c r="X379" s="940">
        <v>1.4E-3</v>
      </c>
      <c r="Y379" s="941">
        <v>4.0000000000000001E-3</v>
      </c>
      <c r="Z379" s="941">
        <v>4.0000000000000001E-3</v>
      </c>
      <c r="AA379" s="769"/>
      <c r="AB379" s="769"/>
      <c r="AC379" s="770"/>
      <c r="AD379" s="674"/>
      <c r="AE379" s="805"/>
      <c r="AF379" s="769"/>
      <c r="AG379" s="769"/>
      <c r="AH379" s="769"/>
      <c r="AI379" s="674"/>
      <c r="AJ379" s="769"/>
      <c r="AK379" s="769"/>
      <c r="AL379" s="769"/>
      <c r="AM379" s="769"/>
      <c r="AN379" s="769"/>
      <c r="AO379" s="769"/>
      <c r="AP379" s="769"/>
      <c r="AQ379" s="769"/>
      <c r="AR379" s="769"/>
      <c r="AS379" s="674"/>
      <c r="AT379" s="805"/>
      <c r="AU379" s="769"/>
      <c r="AV379" s="769"/>
      <c r="AW379" s="769"/>
      <c r="AX379" s="769"/>
      <c r="AY379" s="769"/>
      <c r="AZ379" s="769"/>
      <c r="BA379" s="769"/>
      <c r="BB379" s="674"/>
      <c r="BC379" s="769"/>
      <c r="BD379" s="770"/>
      <c r="BE379" s="770"/>
      <c r="BF379" s="770"/>
      <c r="BG379" s="770"/>
      <c r="BH379" s="770">
        <v>0</v>
      </c>
      <c r="BI379" s="770">
        <v>0</v>
      </c>
      <c r="BJ379" s="674"/>
      <c r="BK379" s="805"/>
      <c r="BL379" s="770"/>
      <c r="BM379" s="674"/>
      <c r="BN379" s="725"/>
      <c r="BO379" s="899">
        <v>0.25</v>
      </c>
      <c r="BP379" s="942">
        <v>0.9</v>
      </c>
    </row>
    <row r="380" spans="1:68" s="727" customFormat="1" ht="38.25">
      <c r="A380" s="725"/>
      <c r="B380" s="725"/>
      <c r="C380" s="725"/>
      <c r="D380" s="725"/>
      <c r="E380" s="728"/>
      <c r="F380" s="769"/>
      <c r="G380" s="769"/>
      <c r="H380" s="917" t="s">
        <v>2380</v>
      </c>
      <c r="I380" s="917" t="s">
        <v>2381</v>
      </c>
      <c r="J380" s="917" t="s">
        <v>2070</v>
      </c>
      <c r="K380" s="917" t="s">
        <v>2382</v>
      </c>
      <c r="L380" s="917" t="s">
        <v>2009</v>
      </c>
      <c r="M380" s="917" t="s">
        <v>2383</v>
      </c>
      <c r="N380" s="917" t="s">
        <v>2009</v>
      </c>
      <c r="O380" s="917" t="s">
        <v>2384</v>
      </c>
      <c r="P380" s="916" t="s">
        <v>2030</v>
      </c>
      <c r="Q380" s="769"/>
      <c r="R380" s="769"/>
      <c r="S380" s="933" t="s">
        <v>2385</v>
      </c>
      <c r="T380" s="769"/>
      <c r="U380" s="769"/>
      <c r="V380" s="770"/>
      <c r="W380" s="674"/>
      <c r="X380" s="916" t="s">
        <v>2386</v>
      </c>
      <c r="Y380" s="916" t="s">
        <v>2387</v>
      </c>
      <c r="Z380" s="916" t="s">
        <v>2387</v>
      </c>
      <c r="AA380" s="769"/>
      <c r="AB380" s="769"/>
      <c r="AC380" s="770"/>
      <c r="AD380" s="674"/>
      <c r="AE380" s="805"/>
      <c r="AF380" s="769"/>
      <c r="AG380" s="769"/>
      <c r="AH380" s="769"/>
      <c r="AI380" s="674"/>
      <c r="AJ380" s="769" t="s">
        <v>2220</v>
      </c>
      <c r="AK380" s="769" t="s">
        <v>2220</v>
      </c>
      <c r="AL380" s="769" t="s">
        <v>2220</v>
      </c>
      <c r="AM380" s="769" t="s">
        <v>2220</v>
      </c>
      <c r="AN380" s="769" t="s">
        <v>2220</v>
      </c>
      <c r="AO380" s="769" t="s">
        <v>2220</v>
      </c>
      <c r="AP380" s="769" t="s">
        <v>2220</v>
      </c>
      <c r="AQ380" s="769" t="s">
        <v>2220</v>
      </c>
      <c r="AR380" s="769" t="s">
        <v>2220</v>
      </c>
      <c r="AS380" s="674"/>
      <c r="AT380" s="805"/>
      <c r="AU380" s="769"/>
      <c r="AV380" s="769"/>
      <c r="AW380" s="769"/>
      <c r="AX380" s="769"/>
      <c r="AY380" s="769"/>
      <c r="AZ380" s="769"/>
      <c r="BA380" s="769"/>
      <c r="BB380" s="674"/>
      <c r="BC380" s="769" t="s">
        <v>2220</v>
      </c>
      <c r="BD380" s="769" t="s">
        <v>2220</v>
      </c>
      <c r="BE380" s="769" t="s">
        <v>2220</v>
      </c>
      <c r="BF380" s="769" t="s">
        <v>2220</v>
      </c>
      <c r="BG380" s="769" t="s">
        <v>2220</v>
      </c>
      <c r="BH380" s="870" t="s">
        <v>2158</v>
      </c>
      <c r="BI380" s="870" t="s">
        <v>2158</v>
      </c>
      <c r="BJ380" s="674"/>
      <c r="BK380" s="805"/>
      <c r="BL380" s="770"/>
      <c r="BM380" s="674"/>
      <c r="BN380" s="901" t="s">
        <v>2141</v>
      </c>
      <c r="BO380" s="901" t="s">
        <v>2147</v>
      </c>
      <c r="BP380" s="901" t="s">
        <v>2144</v>
      </c>
    </row>
    <row r="381" spans="1:68" s="727" customFormat="1">
      <c r="A381" s="725">
        <v>259</v>
      </c>
      <c r="B381" s="871" t="s">
        <v>1918</v>
      </c>
      <c r="C381" s="916" t="s">
        <v>2388</v>
      </c>
      <c r="D381" s="943" t="s">
        <v>2389</v>
      </c>
      <c r="E381" s="728"/>
      <c r="F381" s="769" t="s">
        <v>1996</v>
      </c>
      <c r="G381" s="769" t="s">
        <v>1997</v>
      </c>
      <c r="H381" s="944"/>
      <c r="I381" s="944"/>
      <c r="J381" s="914">
        <v>236.739</v>
      </c>
      <c r="K381" s="917">
        <v>50</v>
      </c>
      <c r="L381" s="917">
        <v>25</v>
      </c>
      <c r="M381" s="935">
        <v>27.997703999999995</v>
      </c>
      <c r="N381" s="917">
        <v>20</v>
      </c>
      <c r="O381" s="942">
        <v>285</v>
      </c>
      <c r="P381" s="917">
        <v>20</v>
      </c>
      <c r="Q381" s="769" t="s">
        <v>541</v>
      </c>
      <c r="R381" s="769" t="s">
        <v>541</v>
      </c>
      <c r="S381" s="930">
        <v>4.1399999999999997</v>
      </c>
      <c r="T381" s="945">
        <f>10^S381</f>
        <v>13803.842646028841</v>
      </c>
      <c r="U381" s="930">
        <v>2.2940250940953226</v>
      </c>
      <c r="V381" s="946">
        <f>10^U381</f>
        <v>196.80000000000013</v>
      </c>
      <c r="W381" s="674"/>
      <c r="X381" s="931">
        <v>0.03</v>
      </c>
      <c r="Y381" s="940">
        <v>6.9999999999999999E-4</v>
      </c>
      <c r="Z381" s="940">
        <v>6.9999999999999999E-4</v>
      </c>
      <c r="AA381" s="916" t="s">
        <v>2397</v>
      </c>
      <c r="AB381" s="931">
        <v>0.04</v>
      </c>
      <c r="AC381" s="931">
        <v>0.04</v>
      </c>
      <c r="AD381" s="674"/>
      <c r="AE381" s="805"/>
      <c r="AF381" s="769"/>
      <c r="AG381" s="769"/>
      <c r="AH381" s="769"/>
      <c r="AI381" s="674"/>
      <c r="AJ381" s="769"/>
      <c r="AK381" s="769"/>
      <c r="AL381" s="769"/>
      <c r="AM381" s="769"/>
      <c r="AN381" s="769"/>
      <c r="AO381" s="769"/>
      <c r="AP381" s="769"/>
      <c r="AQ381" s="769"/>
      <c r="AR381" s="769"/>
      <c r="AS381" s="674"/>
      <c r="AT381" s="805"/>
      <c r="AU381" s="769"/>
      <c r="AV381" s="769"/>
      <c r="AW381" s="769"/>
      <c r="AX381" s="769"/>
      <c r="AY381" s="769"/>
      <c r="AZ381" s="769"/>
      <c r="BA381" s="769"/>
      <c r="BB381" s="674"/>
      <c r="BC381" s="769"/>
      <c r="BD381" s="770"/>
      <c r="BE381" s="770"/>
      <c r="BF381" s="770"/>
      <c r="BG381" s="770"/>
      <c r="BH381" s="770">
        <v>0</v>
      </c>
      <c r="BI381" s="770">
        <v>0</v>
      </c>
      <c r="BJ381" s="674"/>
      <c r="BK381" s="805"/>
      <c r="BL381" s="770"/>
      <c r="BM381" s="674"/>
      <c r="BN381" s="725"/>
      <c r="BO381" s="899">
        <v>0.25</v>
      </c>
      <c r="BP381" s="942">
        <v>0.9</v>
      </c>
    </row>
    <row r="382" spans="1:68" s="727" customFormat="1" ht="76.5">
      <c r="A382" s="725"/>
      <c r="B382" s="725"/>
      <c r="C382" s="725"/>
      <c r="D382" s="725"/>
      <c r="E382" s="728"/>
      <c r="F382" s="769"/>
      <c r="G382" s="769"/>
      <c r="H382" s="944"/>
      <c r="I382" s="944"/>
      <c r="J382" s="917" t="s">
        <v>2011</v>
      </c>
      <c r="K382" s="917" t="s">
        <v>2390</v>
      </c>
      <c r="L382" s="916" t="s">
        <v>2009</v>
      </c>
      <c r="M382" s="917" t="s">
        <v>2391</v>
      </c>
      <c r="N382" s="917" t="s">
        <v>2009</v>
      </c>
      <c r="O382" s="917" t="s">
        <v>2392</v>
      </c>
      <c r="P382" s="917" t="s">
        <v>2011</v>
      </c>
      <c r="Q382" s="769"/>
      <c r="R382" s="769"/>
      <c r="S382" s="917" t="s">
        <v>2393</v>
      </c>
      <c r="T382" s="769"/>
      <c r="U382" s="917" t="s">
        <v>2394</v>
      </c>
      <c r="V382" s="770"/>
      <c r="W382" s="674"/>
      <c r="X382" s="870" t="s">
        <v>2395</v>
      </c>
      <c r="Y382" s="870" t="s">
        <v>2396</v>
      </c>
      <c r="Z382" s="870" t="s">
        <v>2396</v>
      </c>
      <c r="AA382" s="916" t="s">
        <v>2398</v>
      </c>
      <c r="AB382" s="916" t="s">
        <v>2399</v>
      </c>
      <c r="AC382" s="916" t="s">
        <v>2399</v>
      </c>
      <c r="AD382" s="674"/>
      <c r="AE382" s="805"/>
      <c r="AF382" s="769"/>
      <c r="AG382" s="769"/>
      <c r="AH382" s="769"/>
      <c r="AI382" s="674"/>
      <c r="AJ382" s="769" t="s">
        <v>2220</v>
      </c>
      <c r="AK382" s="769" t="s">
        <v>2220</v>
      </c>
      <c r="AL382" s="769" t="s">
        <v>2220</v>
      </c>
      <c r="AM382" s="769" t="s">
        <v>2220</v>
      </c>
      <c r="AN382" s="769" t="s">
        <v>2220</v>
      </c>
      <c r="AO382" s="769" t="s">
        <v>2220</v>
      </c>
      <c r="AP382" s="769" t="s">
        <v>2220</v>
      </c>
      <c r="AQ382" s="769" t="s">
        <v>2220</v>
      </c>
      <c r="AR382" s="769" t="s">
        <v>2220</v>
      </c>
      <c r="AS382" s="674"/>
      <c r="AT382" s="805"/>
      <c r="AU382" s="769"/>
      <c r="AV382" s="769"/>
      <c r="AW382" s="769"/>
      <c r="AX382" s="769"/>
      <c r="AY382" s="769"/>
      <c r="AZ382" s="769"/>
      <c r="BA382" s="769"/>
      <c r="BB382" s="674"/>
      <c r="BC382" s="769" t="s">
        <v>2220</v>
      </c>
      <c r="BD382" s="769" t="s">
        <v>2220</v>
      </c>
      <c r="BE382" s="769" t="s">
        <v>2220</v>
      </c>
      <c r="BF382" s="769" t="s">
        <v>2220</v>
      </c>
      <c r="BG382" s="769" t="s">
        <v>2220</v>
      </c>
      <c r="BH382" s="870" t="s">
        <v>2158</v>
      </c>
      <c r="BI382" s="870" t="s">
        <v>2158</v>
      </c>
      <c r="BJ382" s="674"/>
      <c r="BK382" s="805"/>
      <c r="BL382" s="770"/>
      <c r="BM382" s="674"/>
      <c r="BN382" s="901" t="s">
        <v>2141</v>
      </c>
      <c r="BO382" s="901" t="s">
        <v>2147</v>
      </c>
      <c r="BP382" s="901" t="s">
        <v>2144</v>
      </c>
    </row>
    <row r="383" spans="1:68" s="727" customFormat="1" ht="15.75">
      <c r="A383" s="871">
        <v>261</v>
      </c>
      <c r="B383" s="871" t="s">
        <v>1925</v>
      </c>
      <c r="C383" s="679" t="s">
        <v>2358</v>
      </c>
      <c r="D383" s="943" t="s">
        <v>2400</v>
      </c>
      <c r="E383" s="728"/>
      <c r="F383" s="769" t="s">
        <v>1996</v>
      </c>
      <c r="G383" s="769" t="s">
        <v>1997</v>
      </c>
      <c r="H383" s="769" t="s">
        <v>541</v>
      </c>
      <c r="I383" s="769" t="s">
        <v>541</v>
      </c>
      <c r="J383" s="941">
        <v>130.22999999999999</v>
      </c>
      <c r="K383" s="931">
        <v>880</v>
      </c>
      <c r="L383" s="916">
        <v>25</v>
      </c>
      <c r="M383" s="913">
        <v>18.131846400000001</v>
      </c>
      <c r="N383" s="916">
        <v>25</v>
      </c>
      <c r="O383" s="942">
        <v>2.6851125000000002</v>
      </c>
      <c r="P383" s="916">
        <v>25</v>
      </c>
      <c r="Q383" s="689" t="s">
        <v>541</v>
      </c>
      <c r="R383" s="769" t="s">
        <v>541</v>
      </c>
      <c r="S383" s="947">
        <v>2.73</v>
      </c>
      <c r="T383" s="948"/>
      <c r="U383" s="686">
        <f>LOG(V383)</f>
        <v>1.5475285764597821</v>
      </c>
      <c r="V383" s="931">
        <v>35.28</v>
      </c>
      <c r="W383" s="674"/>
      <c r="X383" s="931">
        <v>1.75</v>
      </c>
      <c r="Y383" s="932">
        <v>0.5</v>
      </c>
      <c r="Z383" s="932">
        <v>0.5</v>
      </c>
      <c r="AA383" s="769"/>
      <c r="AB383" s="769"/>
      <c r="AC383" s="770"/>
      <c r="AD383" s="674"/>
      <c r="AE383" s="805"/>
      <c r="AF383" s="769"/>
      <c r="AG383" s="769"/>
      <c r="AH383" s="769"/>
      <c r="AI383" s="674"/>
      <c r="AJ383" s="769"/>
      <c r="AK383" s="769"/>
      <c r="AL383" s="769"/>
      <c r="AM383" s="769"/>
      <c r="AN383" s="769"/>
      <c r="AO383" s="769"/>
      <c r="AP383" s="769"/>
      <c r="AQ383" s="769"/>
      <c r="AR383" s="769"/>
      <c r="AS383" s="674"/>
      <c r="AT383" s="805"/>
      <c r="AU383" s="769"/>
      <c r="AV383" s="769"/>
      <c r="AW383" s="769"/>
      <c r="AX383" s="769"/>
      <c r="AY383" s="769"/>
      <c r="AZ383" s="769"/>
      <c r="BA383" s="769"/>
      <c r="BB383" s="674"/>
      <c r="BC383" s="769"/>
      <c r="BD383" s="770"/>
      <c r="BE383" s="770"/>
      <c r="BF383" s="770"/>
      <c r="BG383" s="770"/>
      <c r="BH383" s="770">
        <v>0</v>
      </c>
      <c r="BI383" s="770">
        <v>0</v>
      </c>
      <c r="BJ383" s="674"/>
      <c r="BK383" s="805"/>
      <c r="BL383" s="770"/>
      <c r="BM383" s="674"/>
      <c r="BN383" s="725"/>
      <c r="BO383" s="899">
        <v>0.25</v>
      </c>
      <c r="BP383" s="725">
        <v>1</v>
      </c>
    </row>
    <row r="384" spans="1:68" s="727" customFormat="1" ht="51">
      <c r="A384" s="725"/>
      <c r="B384" s="725"/>
      <c r="C384" s="725"/>
      <c r="D384" s="725"/>
      <c r="E384" s="728"/>
      <c r="F384" s="769"/>
      <c r="G384" s="769"/>
      <c r="H384" s="769"/>
      <c r="I384" s="769"/>
      <c r="J384" s="871" t="s">
        <v>2030</v>
      </c>
      <c r="K384" s="871" t="s">
        <v>2401</v>
      </c>
      <c r="L384" s="916" t="s">
        <v>2030</v>
      </c>
      <c r="M384" s="871" t="s">
        <v>2401</v>
      </c>
      <c r="N384" s="916" t="s">
        <v>2030</v>
      </c>
      <c r="O384" s="949" t="s">
        <v>2402</v>
      </c>
      <c r="P384" s="916" t="s">
        <v>2030</v>
      </c>
      <c r="Q384" s="871" t="s">
        <v>2012</v>
      </c>
      <c r="R384" s="769"/>
      <c r="S384" s="871" t="s">
        <v>2030</v>
      </c>
      <c r="T384" s="902"/>
      <c r="U384" s="682"/>
      <c r="V384" s="916" t="s">
        <v>2403</v>
      </c>
      <c r="W384" s="674"/>
      <c r="X384" s="916" t="s">
        <v>2404</v>
      </c>
      <c r="Y384" s="916" t="s">
        <v>2405</v>
      </c>
      <c r="Z384" s="916" t="s">
        <v>2405</v>
      </c>
      <c r="AA384" s="769"/>
      <c r="AB384" s="769"/>
      <c r="AC384" s="770"/>
      <c r="AD384" s="674"/>
      <c r="AE384" s="805"/>
      <c r="AF384" s="769"/>
      <c r="AG384" s="769"/>
      <c r="AH384" s="769"/>
      <c r="AI384" s="674"/>
      <c r="AJ384" s="769" t="s">
        <v>2220</v>
      </c>
      <c r="AK384" s="769" t="s">
        <v>2220</v>
      </c>
      <c r="AL384" s="769" t="s">
        <v>2220</v>
      </c>
      <c r="AM384" s="769" t="s">
        <v>2220</v>
      </c>
      <c r="AN384" s="769" t="s">
        <v>2220</v>
      </c>
      <c r="AO384" s="769" t="s">
        <v>2220</v>
      </c>
      <c r="AP384" s="769" t="s">
        <v>2220</v>
      </c>
      <c r="AQ384" s="769" t="s">
        <v>2220</v>
      </c>
      <c r="AR384" s="769" t="s">
        <v>2220</v>
      </c>
      <c r="AS384" s="674"/>
      <c r="AT384" s="805"/>
      <c r="AU384" s="769"/>
      <c r="AV384" s="769"/>
      <c r="AW384" s="769"/>
      <c r="AX384" s="769"/>
      <c r="AY384" s="769"/>
      <c r="AZ384" s="769"/>
      <c r="BA384" s="769"/>
      <c r="BB384" s="674"/>
      <c r="BC384" s="769" t="s">
        <v>2220</v>
      </c>
      <c r="BD384" s="769" t="s">
        <v>2220</v>
      </c>
      <c r="BE384" s="769" t="s">
        <v>2220</v>
      </c>
      <c r="BF384" s="769" t="s">
        <v>2220</v>
      </c>
      <c r="BG384" s="769" t="s">
        <v>2220</v>
      </c>
      <c r="BH384" s="870" t="s">
        <v>2158</v>
      </c>
      <c r="BI384" s="870" t="s">
        <v>2158</v>
      </c>
      <c r="BJ384" s="674"/>
      <c r="BK384" s="805"/>
      <c r="BL384" s="770"/>
      <c r="BM384" s="674"/>
      <c r="BN384" s="901" t="s">
        <v>2141</v>
      </c>
      <c r="BO384" s="901" t="s">
        <v>2147</v>
      </c>
      <c r="BP384" s="901" t="s">
        <v>2147</v>
      </c>
    </row>
    <row r="385" spans="1:69" s="727" customFormat="1">
      <c r="A385" s="725">
        <v>264</v>
      </c>
      <c r="B385" s="916" t="s">
        <v>1930</v>
      </c>
      <c r="C385" s="916" t="s">
        <v>860</v>
      </c>
      <c r="D385" s="943" t="s">
        <v>2406</v>
      </c>
      <c r="E385" s="728"/>
      <c r="F385" s="769" t="s">
        <v>1996</v>
      </c>
      <c r="G385" s="769" t="s">
        <v>1997</v>
      </c>
      <c r="H385" s="769"/>
      <c r="I385" s="769"/>
      <c r="J385" s="941">
        <v>74.120999999999995</v>
      </c>
      <c r="K385" s="931">
        <v>85000</v>
      </c>
      <c r="L385" s="916">
        <v>25</v>
      </c>
      <c r="M385" s="913">
        <v>1393.2190799999998</v>
      </c>
      <c r="N385" s="916">
        <v>25</v>
      </c>
      <c r="O385" s="950">
        <v>1.3976796711516701</v>
      </c>
      <c r="P385" s="916">
        <v>25</v>
      </c>
      <c r="Q385" s="951" t="s">
        <v>541</v>
      </c>
      <c r="R385" s="769" t="s">
        <v>541</v>
      </c>
      <c r="S385" s="947">
        <v>0.76</v>
      </c>
      <c r="T385" s="952">
        <f>10^S385</f>
        <v>5.7543993733715713</v>
      </c>
      <c r="U385" s="951">
        <f>LOG(V385)</f>
        <v>0.46239799789895608</v>
      </c>
      <c r="V385" s="932">
        <v>2.9</v>
      </c>
      <c r="W385" s="674"/>
      <c r="X385" s="941">
        <v>0.3571428571428571</v>
      </c>
      <c r="Y385" s="932">
        <v>0.3</v>
      </c>
      <c r="Z385" s="932">
        <v>0.3</v>
      </c>
      <c r="AA385" s="769"/>
      <c r="AB385" s="769"/>
      <c r="AC385" s="770"/>
      <c r="AD385" s="674"/>
      <c r="AE385" s="805"/>
      <c r="AF385" s="769"/>
      <c r="AG385" s="769"/>
      <c r="AH385" s="769"/>
      <c r="AI385" s="674"/>
      <c r="AJ385" s="953">
        <v>5.8880400024338342E-3</v>
      </c>
      <c r="AK385" s="953">
        <v>5.8880400024338342E-3</v>
      </c>
      <c r="AL385" s="953">
        <v>5.8880400024338342E-3</v>
      </c>
      <c r="AM385" s="953">
        <v>6.5277902164386078E-3</v>
      </c>
      <c r="AN385" s="953">
        <v>6.5277902164386078E-3</v>
      </c>
      <c r="AO385" s="953">
        <v>6.5277902164386104E-3</v>
      </c>
      <c r="AP385" s="953">
        <v>6.5277902164386104E-3</v>
      </c>
      <c r="AQ385" s="953">
        <v>6.5277902164386104E-3</v>
      </c>
      <c r="AR385" s="953">
        <v>6.5277902164386104E-3</v>
      </c>
      <c r="AS385" s="674"/>
      <c r="AT385" s="805"/>
      <c r="AU385" s="769"/>
      <c r="AV385" s="769"/>
      <c r="AW385" s="769"/>
      <c r="AX385" s="769"/>
      <c r="AY385" s="769"/>
      <c r="AZ385" s="769"/>
      <c r="BA385" s="769"/>
      <c r="BB385" s="674"/>
      <c r="BC385" s="769"/>
      <c r="BD385" s="770"/>
      <c r="BE385" s="770"/>
      <c r="BF385" s="770"/>
      <c r="BG385" s="770"/>
      <c r="BH385" s="770">
        <v>0</v>
      </c>
      <c r="BI385" s="770">
        <v>0</v>
      </c>
      <c r="BJ385" s="674"/>
      <c r="BK385" s="805"/>
      <c r="BL385" s="770"/>
      <c r="BM385" s="674"/>
      <c r="BN385" s="725"/>
      <c r="BO385" s="899">
        <v>0.25</v>
      </c>
      <c r="BP385" s="725">
        <v>1</v>
      </c>
    </row>
    <row r="386" spans="1:69" s="727" customFormat="1" ht="65.25">
      <c r="A386" s="725"/>
      <c r="B386" s="725"/>
      <c r="C386" s="725"/>
      <c r="D386" s="725"/>
      <c r="E386" s="728"/>
      <c r="F386" s="769"/>
      <c r="G386" s="769"/>
      <c r="H386" s="769"/>
      <c r="I386" s="769"/>
      <c r="J386" s="870" t="s">
        <v>2407</v>
      </c>
      <c r="K386" s="871" t="s">
        <v>2401</v>
      </c>
      <c r="L386" s="916" t="s">
        <v>2030</v>
      </c>
      <c r="M386" s="871" t="s">
        <v>2401</v>
      </c>
      <c r="N386" s="916" t="s">
        <v>2030</v>
      </c>
      <c r="O386" s="902" t="s">
        <v>2408</v>
      </c>
      <c r="P386" s="917" t="s">
        <v>2011</v>
      </c>
      <c r="Q386" s="871" t="s">
        <v>2012</v>
      </c>
      <c r="R386" s="769"/>
      <c r="S386" s="870" t="s">
        <v>2409</v>
      </c>
      <c r="T386" s="954"/>
      <c r="U386" s="951"/>
      <c r="V386" s="916" t="s">
        <v>2403</v>
      </c>
      <c r="W386" s="674"/>
      <c r="X386" s="916" t="s">
        <v>2411</v>
      </c>
      <c r="Y386" s="916" t="s">
        <v>2410</v>
      </c>
      <c r="Z386" s="916" t="s">
        <v>2410</v>
      </c>
      <c r="AA386" s="769"/>
      <c r="AB386" s="769"/>
      <c r="AC386" s="770"/>
      <c r="AD386" s="674"/>
      <c r="AE386" s="805"/>
      <c r="AF386" s="769"/>
      <c r="AG386" s="769"/>
      <c r="AH386" s="769"/>
      <c r="AI386" s="674"/>
      <c r="AJ386" s="870" t="s">
        <v>2193</v>
      </c>
      <c r="AK386" s="870" t="s">
        <v>2193</v>
      </c>
      <c r="AL386" s="870" t="s">
        <v>2193</v>
      </c>
      <c r="AM386" s="870" t="s">
        <v>2194</v>
      </c>
      <c r="AN386" s="870" t="s">
        <v>2194</v>
      </c>
      <c r="AO386" s="870" t="s">
        <v>2194</v>
      </c>
      <c r="AP386" s="870" t="s">
        <v>2194</v>
      </c>
      <c r="AQ386" s="870" t="s">
        <v>2194</v>
      </c>
      <c r="AR386" s="870" t="s">
        <v>2194</v>
      </c>
      <c r="AS386" s="674"/>
      <c r="AT386" s="805"/>
      <c r="AU386" s="769"/>
      <c r="AV386" s="769"/>
      <c r="AW386" s="769"/>
      <c r="AX386" s="769"/>
      <c r="AY386" s="769"/>
      <c r="AZ386" s="769"/>
      <c r="BA386" s="769"/>
      <c r="BB386" s="674"/>
      <c r="BC386" s="769" t="s">
        <v>2220</v>
      </c>
      <c r="BD386" s="769" t="s">
        <v>2220</v>
      </c>
      <c r="BE386" s="769" t="s">
        <v>2220</v>
      </c>
      <c r="BF386" s="769" t="s">
        <v>2220</v>
      </c>
      <c r="BG386" s="769" t="s">
        <v>2220</v>
      </c>
      <c r="BH386" s="870" t="s">
        <v>2158</v>
      </c>
      <c r="BI386" s="870" t="s">
        <v>2158</v>
      </c>
      <c r="BJ386" s="674"/>
      <c r="BK386" s="805"/>
      <c r="BL386" s="770"/>
      <c r="BM386" s="674"/>
      <c r="BN386" s="901" t="s">
        <v>2141</v>
      </c>
      <c r="BO386" s="901" t="s">
        <v>2147</v>
      </c>
      <c r="BP386" s="901" t="s">
        <v>2147</v>
      </c>
    </row>
    <row r="387" spans="1:69" s="727" customFormat="1">
      <c r="A387" s="725">
        <v>265</v>
      </c>
      <c r="B387" s="916" t="s">
        <v>1932</v>
      </c>
      <c r="C387" s="916" t="s">
        <v>2418</v>
      </c>
      <c r="D387" s="943" t="s">
        <v>2419</v>
      </c>
      <c r="E387" s="728"/>
      <c r="F387" s="769" t="s">
        <v>1996</v>
      </c>
      <c r="G387" s="769" t="s">
        <v>1997</v>
      </c>
      <c r="H387" s="769"/>
      <c r="I387" s="769"/>
      <c r="J387" s="941">
        <v>102.18</v>
      </c>
      <c r="K387" s="931">
        <v>16400</v>
      </c>
      <c r="L387" s="916">
        <v>25</v>
      </c>
      <c r="M387" s="913">
        <v>706.60871999999995</v>
      </c>
      <c r="N387" s="916">
        <v>25</v>
      </c>
      <c r="O387" s="942">
        <v>4.5089625</v>
      </c>
      <c r="P387" s="916">
        <v>25</v>
      </c>
      <c r="Q387" s="951" t="s">
        <v>541</v>
      </c>
      <c r="R387" s="769" t="s">
        <v>541</v>
      </c>
      <c r="S387" s="947">
        <v>1.43</v>
      </c>
      <c r="T387" s="955">
        <f>10^S387</f>
        <v>26.915348039269158</v>
      </c>
      <c r="U387" s="951">
        <f>LOG(V387)</f>
        <v>0.91142396537629455</v>
      </c>
      <c r="V387" s="916">
        <v>8.1549999999999994</v>
      </c>
      <c r="W387" s="674"/>
      <c r="X387" s="916">
        <v>3</v>
      </c>
      <c r="Y387" s="941">
        <v>0.8571428571428571</v>
      </c>
      <c r="Z387" s="941">
        <v>0.8571428571428571</v>
      </c>
      <c r="AA387" s="769"/>
      <c r="AB387" s="769"/>
      <c r="AC387" s="770"/>
      <c r="AD387" s="674"/>
      <c r="AE387" s="805"/>
      <c r="AF387" s="769"/>
      <c r="AG387" s="769"/>
      <c r="AH387" s="769"/>
      <c r="AI387" s="674"/>
      <c r="AJ387" s="769"/>
      <c r="AK387" s="769"/>
      <c r="AL387" s="769"/>
      <c r="AM387" s="769"/>
      <c r="AN387" s="769"/>
      <c r="AO387" s="769"/>
      <c r="AP387" s="769"/>
      <c r="AQ387" s="769"/>
      <c r="AR387" s="769"/>
      <c r="AS387" s="674"/>
      <c r="AT387" s="805"/>
      <c r="AU387" s="769"/>
      <c r="AV387" s="769"/>
      <c r="AW387" s="769"/>
      <c r="AX387" s="769"/>
      <c r="AY387" s="769"/>
      <c r="AZ387" s="769"/>
      <c r="BA387" s="769"/>
      <c r="BB387" s="674"/>
      <c r="BC387" s="769"/>
      <c r="BD387" s="770"/>
      <c r="BE387" s="770"/>
      <c r="BF387" s="770"/>
      <c r="BG387" s="770"/>
      <c r="BH387" s="770">
        <v>0</v>
      </c>
      <c r="BI387" s="770">
        <v>0</v>
      </c>
      <c r="BJ387" s="674"/>
      <c r="BK387" s="805"/>
      <c r="BL387" s="770"/>
      <c r="BM387" s="674"/>
      <c r="BN387" s="725"/>
      <c r="BO387" s="899">
        <v>0.25</v>
      </c>
      <c r="BP387" s="725">
        <v>1</v>
      </c>
    </row>
    <row r="388" spans="1:69" s="727" customFormat="1" ht="51">
      <c r="A388" s="725"/>
      <c r="B388" s="725"/>
      <c r="C388" s="725"/>
      <c r="D388" s="725"/>
      <c r="E388" s="728"/>
      <c r="F388" s="769"/>
      <c r="G388" s="769"/>
      <c r="H388" s="769"/>
      <c r="I388" s="769"/>
      <c r="J388" s="871" t="s">
        <v>2030</v>
      </c>
      <c r="K388" s="871" t="s">
        <v>2401</v>
      </c>
      <c r="L388" s="871" t="s">
        <v>2030</v>
      </c>
      <c r="M388" s="870" t="s">
        <v>2420</v>
      </c>
      <c r="N388" s="870" t="s">
        <v>2009</v>
      </c>
      <c r="O388" s="949" t="s">
        <v>2008</v>
      </c>
      <c r="P388" s="870" t="s">
        <v>2009</v>
      </c>
      <c r="Q388" s="871" t="s">
        <v>2012</v>
      </c>
      <c r="R388" s="769"/>
      <c r="S388" s="871" t="s">
        <v>2030</v>
      </c>
      <c r="T388" s="954"/>
      <c r="U388" s="951"/>
      <c r="V388" s="916" t="s">
        <v>2403</v>
      </c>
      <c r="W388" s="674"/>
      <c r="X388" s="916" t="s">
        <v>2421</v>
      </c>
      <c r="Y388" s="916" t="s">
        <v>2422</v>
      </c>
      <c r="Z388" s="916" t="s">
        <v>2422</v>
      </c>
      <c r="AA388" s="769"/>
      <c r="AB388" s="769"/>
      <c r="AC388" s="770"/>
      <c r="AD388" s="674"/>
      <c r="AE388" s="805"/>
      <c r="AF388" s="769"/>
      <c r="AG388" s="769"/>
      <c r="AH388" s="769"/>
      <c r="AI388" s="674"/>
      <c r="AJ388" s="769" t="s">
        <v>2220</v>
      </c>
      <c r="AK388" s="769" t="s">
        <v>2220</v>
      </c>
      <c r="AL388" s="769" t="s">
        <v>2220</v>
      </c>
      <c r="AM388" s="769" t="s">
        <v>2220</v>
      </c>
      <c r="AN388" s="769" t="s">
        <v>2220</v>
      </c>
      <c r="AO388" s="769" t="s">
        <v>2220</v>
      </c>
      <c r="AP388" s="769" t="s">
        <v>2220</v>
      </c>
      <c r="AQ388" s="769" t="s">
        <v>2220</v>
      </c>
      <c r="AR388" s="769" t="s">
        <v>2220</v>
      </c>
      <c r="AS388" s="674"/>
      <c r="AT388" s="805"/>
      <c r="AU388" s="769"/>
      <c r="AV388" s="769"/>
      <c r="AW388" s="769"/>
      <c r="AX388" s="769"/>
      <c r="AY388" s="769"/>
      <c r="AZ388" s="769"/>
      <c r="BA388" s="769"/>
      <c r="BB388" s="674"/>
      <c r="BC388" s="769" t="s">
        <v>2220</v>
      </c>
      <c r="BD388" s="769" t="s">
        <v>2220</v>
      </c>
      <c r="BE388" s="769" t="s">
        <v>2220</v>
      </c>
      <c r="BF388" s="769" t="s">
        <v>2220</v>
      </c>
      <c r="BG388" s="769" t="s">
        <v>2220</v>
      </c>
      <c r="BH388" s="870" t="s">
        <v>2158</v>
      </c>
      <c r="BI388" s="870" t="s">
        <v>2158</v>
      </c>
      <c r="BJ388" s="674"/>
      <c r="BK388" s="805"/>
      <c r="BL388" s="770"/>
      <c r="BM388" s="674"/>
      <c r="BN388" s="901" t="s">
        <v>2141</v>
      </c>
      <c r="BO388" s="901" t="s">
        <v>2147</v>
      </c>
      <c r="BP388" s="901" t="s">
        <v>2147</v>
      </c>
    </row>
    <row r="389" spans="1:69" s="727" customFormat="1">
      <c r="A389" s="725">
        <v>267</v>
      </c>
      <c r="B389" s="916" t="s">
        <v>1956</v>
      </c>
      <c r="C389" s="916" t="s">
        <v>2412</v>
      </c>
      <c r="D389" s="943" t="s">
        <v>2413</v>
      </c>
      <c r="E389" s="728"/>
      <c r="F389" s="769" t="s">
        <v>1996</v>
      </c>
      <c r="G389" s="769" t="s">
        <v>1997</v>
      </c>
      <c r="H389" s="769"/>
      <c r="I389" s="769"/>
      <c r="J389" s="941">
        <v>98.057000000000002</v>
      </c>
      <c r="K389" s="931">
        <v>3700</v>
      </c>
      <c r="L389" s="916">
        <v>25</v>
      </c>
      <c r="M389" s="913">
        <v>33.330599999999997</v>
      </c>
      <c r="N389" s="916">
        <v>25</v>
      </c>
      <c r="O389" s="942">
        <v>0.3951675</v>
      </c>
      <c r="P389" s="916">
        <v>25</v>
      </c>
      <c r="Q389" s="951" t="s">
        <v>541</v>
      </c>
      <c r="R389" s="769" t="s">
        <v>541</v>
      </c>
      <c r="S389" s="947">
        <v>1.62</v>
      </c>
      <c r="T389" s="955">
        <f>10^S389</f>
        <v>41.686938347033561</v>
      </c>
      <c r="U389" s="951">
        <f>LOG(V389)</f>
        <v>0</v>
      </c>
      <c r="V389" s="916">
        <v>1</v>
      </c>
      <c r="W389" s="674"/>
      <c r="X389" s="940">
        <v>6.9999999999999999E-4</v>
      </c>
      <c r="Y389" s="932">
        <v>0.1</v>
      </c>
      <c r="Z389" s="932">
        <v>0.1</v>
      </c>
      <c r="AA389" s="769"/>
      <c r="AB389" s="769"/>
      <c r="AC389" s="770"/>
      <c r="AD389" s="674"/>
      <c r="AE389" s="805"/>
      <c r="AF389" s="769"/>
      <c r="AG389" s="769"/>
      <c r="AH389" s="769"/>
      <c r="AI389" s="674"/>
      <c r="AJ389" s="769"/>
      <c r="AK389" s="769"/>
      <c r="AL389" s="769"/>
      <c r="AM389" s="769"/>
      <c r="AN389" s="769"/>
      <c r="AO389" s="769"/>
      <c r="AP389" s="769"/>
      <c r="AQ389" s="769"/>
      <c r="AR389" s="769"/>
      <c r="AS389" s="674"/>
      <c r="AT389" s="805"/>
      <c r="AU389" s="769"/>
      <c r="AV389" s="769"/>
      <c r="AW389" s="769"/>
      <c r="AX389" s="769"/>
      <c r="AY389" s="769"/>
      <c r="AZ389" s="769"/>
      <c r="BA389" s="769"/>
      <c r="BB389" s="674"/>
      <c r="BC389" s="769"/>
      <c r="BD389" s="770"/>
      <c r="BE389" s="770"/>
      <c r="BF389" s="770"/>
      <c r="BG389" s="770"/>
      <c r="BH389" s="770">
        <v>0</v>
      </c>
      <c r="BI389" s="770">
        <v>0</v>
      </c>
      <c r="BJ389" s="674"/>
      <c r="BK389" s="805"/>
      <c r="BL389" s="770"/>
      <c r="BM389" s="674"/>
      <c r="BN389" s="725"/>
      <c r="BO389" s="899">
        <v>0.1</v>
      </c>
      <c r="BP389" s="725">
        <v>1</v>
      </c>
    </row>
    <row r="390" spans="1:69" s="727" customFormat="1" ht="51">
      <c r="A390" s="725"/>
      <c r="B390" s="725"/>
      <c r="C390" s="725"/>
      <c r="D390" s="725"/>
      <c r="E390" s="728"/>
      <c r="F390" s="769"/>
      <c r="G390" s="769"/>
      <c r="H390" s="769"/>
      <c r="I390" s="769"/>
      <c r="J390" s="871" t="s">
        <v>2030</v>
      </c>
      <c r="K390" s="871" t="s">
        <v>2414</v>
      </c>
      <c r="L390" s="916" t="s">
        <v>2030</v>
      </c>
      <c r="M390" s="871" t="s">
        <v>2401</v>
      </c>
      <c r="N390" s="916" t="s">
        <v>2030</v>
      </c>
      <c r="O390" s="949" t="s">
        <v>2402</v>
      </c>
      <c r="P390" s="916" t="s">
        <v>2030</v>
      </c>
      <c r="Q390" s="871" t="s">
        <v>2012</v>
      </c>
      <c r="R390" s="769"/>
      <c r="S390" s="871" t="s">
        <v>2030</v>
      </c>
      <c r="T390" s="954"/>
      <c r="U390" s="951"/>
      <c r="V390" s="916" t="s">
        <v>2403</v>
      </c>
      <c r="W390" s="674"/>
      <c r="X390" s="916" t="s">
        <v>2415</v>
      </c>
      <c r="Y390" s="916" t="s">
        <v>2416</v>
      </c>
      <c r="Z390" s="916" t="s">
        <v>2416</v>
      </c>
      <c r="AA390" s="769"/>
      <c r="AB390" s="769"/>
      <c r="AC390" s="770"/>
      <c r="AD390" s="674"/>
      <c r="AE390" s="805"/>
      <c r="AF390" s="769"/>
      <c r="AG390" s="769"/>
      <c r="AH390" s="769"/>
      <c r="AI390" s="674"/>
      <c r="AJ390" s="769" t="s">
        <v>2220</v>
      </c>
      <c r="AK390" s="769" t="s">
        <v>2220</v>
      </c>
      <c r="AL390" s="769" t="s">
        <v>2220</v>
      </c>
      <c r="AM390" s="769" t="s">
        <v>2220</v>
      </c>
      <c r="AN390" s="769" t="s">
        <v>2220</v>
      </c>
      <c r="AO390" s="769" t="s">
        <v>2220</v>
      </c>
      <c r="AP390" s="769" t="s">
        <v>2220</v>
      </c>
      <c r="AQ390" s="769" t="s">
        <v>2220</v>
      </c>
      <c r="AR390" s="769" t="s">
        <v>2220</v>
      </c>
      <c r="AS390" s="674"/>
      <c r="AT390" s="805"/>
      <c r="AU390" s="769"/>
      <c r="AV390" s="769"/>
      <c r="AW390" s="769"/>
      <c r="AX390" s="769"/>
      <c r="AY390" s="769"/>
      <c r="AZ390" s="769"/>
      <c r="BA390" s="769"/>
      <c r="BB390" s="674"/>
      <c r="BC390" s="769" t="s">
        <v>2220</v>
      </c>
      <c r="BD390" s="769" t="s">
        <v>2220</v>
      </c>
      <c r="BE390" s="769" t="s">
        <v>2220</v>
      </c>
      <c r="BF390" s="769" t="s">
        <v>2220</v>
      </c>
      <c r="BG390" s="769" t="s">
        <v>2220</v>
      </c>
      <c r="BH390" s="870" t="s">
        <v>2158</v>
      </c>
      <c r="BI390" s="870" t="s">
        <v>2158</v>
      </c>
      <c r="BJ390" s="674"/>
      <c r="BK390" s="805"/>
      <c r="BL390" s="770"/>
      <c r="BM390" s="674"/>
      <c r="BN390" s="901" t="s">
        <v>2141</v>
      </c>
      <c r="BO390" s="901" t="s">
        <v>2417</v>
      </c>
      <c r="BP390" s="901" t="s">
        <v>2147</v>
      </c>
    </row>
    <row r="391" spans="1:69" s="727" customFormat="1" ht="25.5">
      <c r="A391" s="725">
        <v>272</v>
      </c>
      <c r="B391" s="871" t="s">
        <v>1939</v>
      </c>
      <c r="C391" s="871" t="s">
        <v>2427</v>
      </c>
      <c r="D391" s="934" t="s">
        <v>2428</v>
      </c>
      <c r="E391" s="728"/>
      <c r="F391" s="769" t="s">
        <v>1996</v>
      </c>
      <c r="G391" s="769" t="s">
        <v>1996</v>
      </c>
      <c r="H391" s="769" t="s">
        <v>1416</v>
      </c>
      <c r="I391" s="932">
        <v>11.7</v>
      </c>
      <c r="J391" s="871">
        <v>206.33</v>
      </c>
      <c r="K391" s="871">
        <v>2.5</v>
      </c>
      <c r="L391" s="916">
        <v>25</v>
      </c>
      <c r="M391" s="956">
        <v>0.97325351999999987</v>
      </c>
      <c r="N391" s="916">
        <v>25</v>
      </c>
      <c r="O391" s="942">
        <v>0.31917374999999998</v>
      </c>
      <c r="P391" s="916">
        <v>25</v>
      </c>
      <c r="Q391" s="957" t="s">
        <v>541</v>
      </c>
      <c r="R391" s="769" t="s">
        <v>541</v>
      </c>
      <c r="S391" s="871">
        <v>4.92</v>
      </c>
      <c r="T391" s="954">
        <f>10^S391</f>
        <v>83176.377110267174</v>
      </c>
      <c r="U391" s="951">
        <f>LOG(V391)</f>
        <v>3.8067902715840667</v>
      </c>
      <c r="V391" s="916">
        <v>6409</v>
      </c>
      <c r="W391" s="674"/>
      <c r="X391" s="916">
        <v>1000000</v>
      </c>
      <c r="Y391" s="931">
        <v>0.15</v>
      </c>
      <c r="Z391" s="931">
        <v>0.15</v>
      </c>
      <c r="AA391" s="769"/>
      <c r="AB391" s="769"/>
      <c r="AC391" s="770"/>
      <c r="AD391" s="674"/>
      <c r="AE391" s="805"/>
      <c r="AF391" s="769"/>
      <c r="AG391" s="769"/>
      <c r="AH391" s="769"/>
      <c r="AI391" s="674"/>
      <c r="AJ391" s="769"/>
      <c r="AK391" s="769"/>
      <c r="AL391" s="769"/>
      <c r="AM391" s="769"/>
      <c r="AN391" s="769"/>
      <c r="AO391" s="769"/>
      <c r="AP391" s="769"/>
      <c r="AQ391" s="769"/>
      <c r="AR391" s="769"/>
      <c r="AS391" s="674"/>
      <c r="AT391" s="805"/>
      <c r="AU391" s="769"/>
      <c r="AV391" s="769"/>
      <c r="AW391" s="769"/>
      <c r="AX391" s="769"/>
      <c r="AY391" s="769"/>
      <c r="AZ391" s="769"/>
      <c r="BA391" s="769"/>
      <c r="BB391" s="674"/>
      <c r="BC391" s="769"/>
      <c r="BD391" s="770"/>
      <c r="BE391" s="770"/>
      <c r="BF391" s="770"/>
      <c r="BG391" s="770"/>
      <c r="BH391" s="770">
        <v>0</v>
      </c>
      <c r="BI391" s="770">
        <v>0</v>
      </c>
      <c r="BJ391" s="674"/>
      <c r="BK391" s="805"/>
      <c r="BL391" s="770"/>
      <c r="BM391" s="674"/>
      <c r="BN391" s="725"/>
      <c r="BO391" s="899">
        <v>0.25</v>
      </c>
      <c r="BP391" s="725">
        <v>1</v>
      </c>
    </row>
    <row r="392" spans="1:69" s="727" customFormat="1" ht="90.75">
      <c r="A392" s="725"/>
      <c r="B392" s="725"/>
      <c r="C392" s="725"/>
      <c r="D392" s="725"/>
      <c r="E392" s="728"/>
      <c r="F392" s="769"/>
      <c r="G392" s="769"/>
      <c r="H392" s="769"/>
      <c r="I392" s="916" t="s">
        <v>2429</v>
      </c>
      <c r="J392" s="871" t="s">
        <v>2030</v>
      </c>
      <c r="K392" s="871" t="s">
        <v>2401</v>
      </c>
      <c r="L392" s="871" t="s">
        <v>2030</v>
      </c>
      <c r="M392" s="871" t="s">
        <v>2401</v>
      </c>
      <c r="N392" s="871" t="s">
        <v>2030</v>
      </c>
      <c r="O392" s="901" t="s">
        <v>2008</v>
      </c>
      <c r="P392" s="871" t="s">
        <v>2009</v>
      </c>
      <c r="Q392" s="957"/>
      <c r="R392" s="769"/>
      <c r="S392" s="871" t="s">
        <v>2030</v>
      </c>
      <c r="T392" s="954"/>
      <c r="U392" s="951"/>
      <c r="V392" s="916" t="s">
        <v>2403</v>
      </c>
      <c r="W392" s="674"/>
      <c r="X392" s="916" t="s">
        <v>2431</v>
      </c>
      <c r="Y392" s="916" t="s">
        <v>2430</v>
      </c>
      <c r="Z392" s="916" t="s">
        <v>2430</v>
      </c>
      <c r="AA392" s="769"/>
      <c r="AB392" s="769"/>
      <c r="AC392" s="770"/>
      <c r="AD392" s="674"/>
      <c r="AE392" s="805"/>
      <c r="AF392" s="769"/>
      <c r="AG392" s="769"/>
      <c r="AH392" s="769"/>
      <c r="AI392" s="674"/>
      <c r="AJ392" s="769" t="s">
        <v>2220</v>
      </c>
      <c r="AK392" s="769" t="s">
        <v>2220</v>
      </c>
      <c r="AL392" s="769" t="s">
        <v>2220</v>
      </c>
      <c r="AM392" s="769" t="s">
        <v>2220</v>
      </c>
      <c r="AN392" s="769" t="s">
        <v>2220</v>
      </c>
      <c r="AO392" s="769" t="s">
        <v>2220</v>
      </c>
      <c r="AP392" s="769" t="s">
        <v>2220</v>
      </c>
      <c r="AQ392" s="769" t="s">
        <v>2220</v>
      </c>
      <c r="AR392" s="769" t="s">
        <v>2220</v>
      </c>
      <c r="AS392" s="674"/>
      <c r="AT392" s="805"/>
      <c r="AU392" s="769"/>
      <c r="AV392" s="769"/>
      <c r="AW392" s="769"/>
      <c r="AX392" s="769"/>
      <c r="AY392" s="769"/>
      <c r="AZ392" s="769"/>
      <c r="BA392" s="769"/>
      <c r="BB392" s="674"/>
      <c r="BC392" s="769" t="s">
        <v>2220</v>
      </c>
      <c r="BD392" s="769" t="s">
        <v>2220</v>
      </c>
      <c r="BE392" s="769" t="s">
        <v>2220</v>
      </c>
      <c r="BF392" s="769" t="s">
        <v>2220</v>
      </c>
      <c r="BG392" s="769" t="s">
        <v>2220</v>
      </c>
      <c r="BH392" s="870" t="s">
        <v>2158</v>
      </c>
      <c r="BI392" s="870" t="s">
        <v>2158</v>
      </c>
      <c r="BJ392" s="674"/>
      <c r="BK392" s="805"/>
      <c r="BL392" s="770"/>
      <c r="BM392" s="674"/>
      <c r="BN392" s="901" t="s">
        <v>2141</v>
      </c>
      <c r="BO392" s="901" t="s">
        <v>2147</v>
      </c>
      <c r="BP392" s="901" t="s">
        <v>2147</v>
      </c>
    </row>
    <row r="393" spans="1:69" s="727" customFormat="1" ht="57" customHeight="1">
      <c r="A393" s="725">
        <v>276</v>
      </c>
      <c r="B393" s="916" t="s">
        <v>1943</v>
      </c>
      <c r="C393" s="916" t="s">
        <v>2423</v>
      </c>
      <c r="D393" s="934" t="s">
        <v>2424</v>
      </c>
      <c r="E393" s="728"/>
      <c r="F393" s="769" t="s">
        <v>1996</v>
      </c>
      <c r="G393" s="769" t="s">
        <v>1997</v>
      </c>
      <c r="H393" s="769"/>
      <c r="I393" s="769"/>
      <c r="J393" s="941">
        <v>230.31</v>
      </c>
      <c r="K393" s="941">
        <v>1.7999999999999999E-2</v>
      </c>
      <c r="L393" s="916">
        <v>25</v>
      </c>
      <c r="M393" s="956">
        <v>1.3332239999999999E-5</v>
      </c>
      <c r="N393" s="916">
        <v>25</v>
      </c>
      <c r="O393" s="942">
        <v>0.16617299999999999</v>
      </c>
      <c r="P393" s="916">
        <v>25</v>
      </c>
      <c r="Q393" s="951" t="s">
        <v>541</v>
      </c>
      <c r="R393" s="958" t="s">
        <v>541</v>
      </c>
      <c r="S393" s="947">
        <v>1.43</v>
      </c>
      <c r="T393" s="955">
        <f>10^S393</f>
        <v>26.915348039269158</v>
      </c>
      <c r="U393" s="951">
        <f>LOG(V393)</f>
        <v>5.2564772062416765</v>
      </c>
      <c r="V393" s="916">
        <v>180500</v>
      </c>
      <c r="W393" s="674"/>
      <c r="X393" s="940">
        <v>1.1214285714285715E-2</v>
      </c>
      <c r="Y393" s="940">
        <v>3.2040816326530616E-3</v>
      </c>
      <c r="Z393" s="940">
        <v>3.2040816326530616E-3</v>
      </c>
      <c r="AA393" s="769"/>
      <c r="AB393" s="769"/>
      <c r="AC393" s="770"/>
      <c r="AD393" s="674"/>
      <c r="AE393" s="805"/>
      <c r="AF393" s="769"/>
      <c r="AG393" s="769"/>
      <c r="AH393" s="769"/>
      <c r="AI393" s="674"/>
      <c r="AJ393" s="769"/>
      <c r="AK393" s="769"/>
      <c r="AL393" s="769"/>
      <c r="AM393" s="769"/>
      <c r="AN393" s="769"/>
      <c r="AO393" s="769"/>
      <c r="AP393" s="769"/>
      <c r="AQ393" s="769"/>
      <c r="AR393" s="769"/>
      <c r="AS393" s="674"/>
      <c r="AT393" s="805"/>
      <c r="AU393" s="769"/>
      <c r="AV393" s="769"/>
      <c r="AW393" s="769"/>
      <c r="AX393" s="769"/>
      <c r="AY393" s="769"/>
      <c r="AZ393" s="769"/>
      <c r="BA393" s="769"/>
      <c r="BB393" s="674"/>
      <c r="BC393" s="769"/>
      <c r="BD393" s="770"/>
      <c r="BE393" s="770"/>
      <c r="BF393" s="770"/>
      <c r="BG393" s="770"/>
      <c r="BH393" s="959"/>
      <c r="BI393" s="959"/>
      <c r="BJ393" s="674"/>
      <c r="BK393" s="805"/>
      <c r="BL393" s="770"/>
      <c r="BM393" s="674"/>
      <c r="BN393" s="725"/>
      <c r="BO393" s="899">
        <v>0.25</v>
      </c>
      <c r="BP393" s="725">
        <v>1</v>
      </c>
    </row>
    <row r="394" spans="1:69" s="727" customFormat="1" ht="112.5" customHeight="1">
      <c r="A394" s="725"/>
      <c r="B394" s="725"/>
      <c r="C394" s="725"/>
      <c r="D394" s="725"/>
      <c r="E394" s="728"/>
      <c r="F394" s="769"/>
      <c r="G394" s="769"/>
      <c r="H394" s="769"/>
      <c r="I394" s="769"/>
      <c r="J394" s="871" t="s">
        <v>2030</v>
      </c>
      <c r="K394" s="871" t="s">
        <v>2401</v>
      </c>
      <c r="L394" s="916" t="s">
        <v>2030</v>
      </c>
      <c r="M394" s="870" t="s">
        <v>2009</v>
      </c>
      <c r="N394" s="870" t="s">
        <v>2009</v>
      </c>
      <c r="O394" s="949" t="s">
        <v>2008</v>
      </c>
      <c r="P394" s="870" t="s">
        <v>2009</v>
      </c>
      <c r="Q394" s="871" t="s">
        <v>2012</v>
      </c>
      <c r="R394" s="769"/>
      <c r="S394" s="871" t="s">
        <v>2030</v>
      </c>
      <c r="T394" s="954"/>
      <c r="U394" s="951"/>
      <c r="V394" s="916" t="s">
        <v>2403</v>
      </c>
      <c r="W394" s="674"/>
      <c r="X394" s="916" t="s">
        <v>2425</v>
      </c>
      <c r="Y394" s="916" t="s">
        <v>2426</v>
      </c>
      <c r="Z394" s="916" t="s">
        <v>2426</v>
      </c>
      <c r="AA394" s="769"/>
      <c r="AB394" s="769"/>
      <c r="AC394" s="770"/>
      <c r="AD394" s="674"/>
      <c r="AE394" s="805"/>
      <c r="AF394" s="769"/>
      <c r="AG394" s="769"/>
      <c r="AH394" s="769"/>
      <c r="AI394" s="674"/>
      <c r="AJ394" s="769" t="s">
        <v>2220</v>
      </c>
      <c r="AK394" s="769" t="s">
        <v>2220</v>
      </c>
      <c r="AL394" s="769" t="s">
        <v>2220</v>
      </c>
      <c r="AM394" s="769" t="s">
        <v>2220</v>
      </c>
      <c r="AN394" s="769" t="s">
        <v>2220</v>
      </c>
      <c r="AO394" s="769" t="s">
        <v>2220</v>
      </c>
      <c r="AP394" s="769" t="s">
        <v>2220</v>
      </c>
      <c r="AQ394" s="769" t="s">
        <v>2220</v>
      </c>
      <c r="AR394" s="769" t="s">
        <v>2220</v>
      </c>
      <c r="AS394" s="674"/>
      <c r="AT394" s="805"/>
      <c r="AU394" s="769"/>
      <c r="AV394" s="769"/>
      <c r="AW394" s="769"/>
      <c r="AX394" s="769"/>
      <c r="AY394" s="769"/>
      <c r="AZ394" s="769"/>
      <c r="BA394" s="769"/>
      <c r="BB394" s="674"/>
      <c r="BC394" s="769"/>
      <c r="BD394" s="770"/>
      <c r="BE394" s="770"/>
      <c r="BF394" s="770"/>
      <c r="BG394" s="770"/>
      <c r="BH394" s="959"/>
      <c r="BI394" s="959"/>
      <c r="BJ394" s="674"/>
      <c r="BK394" s="805"/>
      <c r="BL394" s="770"/>
      <c r="BM394" s="674"/>
      <c r="BN394" s="901" t="s">
        <v>2141</v>
      </c>
      <c r="BO394" s="901" t="s">
        <v>2147</v>
      </c>
      <c r="BP394" s="901" t="s">
        <v>2147</v>
      </c>
    </row>
    <row r="395" spans="1:69" s="967" customFormat="1" ht="24" customHeight="1">
      <c r="A395" s="960">
        <v>282</v>
      </c>
      <c r="B395" s="928" t="s">
        <v>1975</v>
      </c>
      <c r="C395" s="928" t="s">
        <v>2051</v>
      </c>
      <c r="D395" s="928" t="s">
        <v>2437</v>
      </c>
      <c r="E395" s="972"/>
      <c r="F395" s="958" t="s">
        <v>1996</v>
      </c>
      <c r="G395" s="958" t="s">
        <v>1997</v>
      </c>
      <c r="H395" s="958" t="s">
        <v>541</v>
      </c>
      <c r="I395" s="958"/>
      <c r="J395" s="961">
        <v>88.106999999999999</v>
      </c>
      <c r="K395" s="871">
        <v>87620</v>
      </c>
      <c r="L395" s="916">
        <v>25</v>
      </c>
      <c r="M395" s="916">
        <v>5132.9111842105267</v>
      </c>
      <c r="N395" s="916">
        <v>25</v>
      </c>
      <c r="O395" s="914">
        <v>2.9992200000000002</v>
      </c>
      <c r="P395" s="916">
        <v>25</v>
      </c>
      <c r="Q395" s="871" t="s">
        <v>541</v>
      </c>
      <c r="R395" s="958" t="s">
        <v>541</v>
      </c>
      <c r="S395" s="871">
        <v>0.18</v>
      </c>
      <c r="T395" s="954">
        <v>1.5135612484362082</v>
      </c>
      <c r="U395" s="962">
        <f>LOG(V395)</f>
        <v>0.42045085910606816</v>
      </c>
      <c r="V395" s="914">
        <v>2.633</v>
      </c>
      <c r="W395" s="680"/>
      <c r="X395" s="963" t="s">
        <v>541</v>
      </c>
      <c r="Y395" s="963" t="s">
        <v>541</v>
      </c>
      <c r="Z395" s="963" t="s">
        <v>541</v>
      </c>
      <c r="AA395" s="963" t="s">
        <v>541</v>
      </c>
      <c r="AB395" s="963" t="s">
        <v>541</v>
      </c>
      <c r="AC395" s="963" t="s">
        <v>541</v>
      </c>
      <c r="AD395" s="680"/>
      <c r="AE395" s="964"/>
      <c r="AF395" s="958"/>
      <c r="AG395" s="958"/>
      <c r="AH395" s="958"/>
      <c r="AI395" s="680"/>
      <c r="AJ395" s="965">
        <v>5.4185708924656796E-3</v>
      </c>
      <c r="AK395" s="965">
        <v>5.4185708924656796E-3</v>
      </c>
      <c r="AL395" s="965">
        <v>5.4185708924656796E-3</v>
      </c>
      <c r="AM395" s="965">
        <v>3.3668122775973525E-3</v>
      </c>
      <c r="AN395" s="965">
        <v>3.3668122775973525E-3</v>
      </c>
      <c r="AO395" s="965">
        <v>3.3668122775973525E-3</v>
      </c>
      <c r="AP395" s="965">
        <v>3.3668122775973525E-3</v>
      </c>
      <c r="AQ395" s="965">
        <v>3.3668122775973525E-3</v>
      </c>
      <c r="AR395" s="965">
        <v>3.3668122775973525E-3</v>
      </c>
      <c r="AS395" s="680"/>
      <c r="AT395" s="964"/>
      <c r="AU395" s="958"/>
      <c r="AV395" s="958"/>
      <c r="AW395" s="958"/>
      <c r="AX395" s="958"/>
      <c r="AY395" s="958"/>
      <c r="AZ395" s="958"/>
      <c r="BA395" s="958"/>
      <c r="BB395" s="680"/>
      <c r="BC395" s="958"/>
      <c r="BD395" s="966"/>
      <c r="BE395" s="966"/>
      <c r="BF395" s="966"/>
      <c r="BG395" s="966"/>
      <c r="BH395" s="959">
        <v>0</v>
      </c>
      <c r="BI395" s="959">
        <v>0</v>
      </c>
      <c r="BJ395" s="680"/>
      <c r="BK395" s="964"/>
      <c r="BL395" s="966"/>
      <c r="BM395" s="680"/>
      <c r="BN395" s="901"/>
      <c r="BO395" s="901">
        <v>0.25</v>
      </c>
      <c r="BP395" s="901">
        <v>1</v>
      </c>
    </row>
    <row r="396" spans="1:69" s="967" customFormat="1" ht="112.5" customHeight="1">
      <c r="A396" s="928"/>
      <c r="B396" s="928"/>
      <c r="C396" s="928"/>
      <c r="D396" s="928"/>
      <c r="E396" s="972"/>
      <c r="F396" s="958"/>
      <c r="G396" s="958"/>
      <c r="H396" s="958"/>
      <c r="I396" s="958"/>
      <c r="J396" s="871" t="s">
        <v>2030</v>
      </c>
      <c r="K396" s="870" t="s">
        <v>2438</v>
      </c>
      <c r="L396" s="916" t="s">
        <v>2009</v>
      </c>
      <c r="M396" s="870" t="s">
        <v>2440</v>
      </c>
      <c r="N396" s="870" t="s">
        <v>2030</v>
      </c>
      <c r="O396" s="949" t="s">
        <v>2439</v>
      </c>
      <c r="P396" s="916" t="s">
        <v>2009</v>
      </c>
      <c r="Q396" s="871" t="s">
        <v>2012</v>
      </c>
      <c r="R396" s="958"/>
      <c r="S396" s="870" t="s">
        <v>2441</v>
      </c>
      <c r="T396" s="954" t="s">
        <v>2439</v>
      </c>
      <c r="U396" s="951"/>
      <c r="V396" s="951" t="s">
        <v>2442</v>
      </c>
      <c r="W396" s="680"/>
      <c r="X396" s="963"/>
      <c r="Y396" s="916"/>
      <c r="Z396" s="916"/>
      <c r="AA396" s="958"/>
      <c r="AB396" s="958"/>
      <c r="AC396" s="966"/>
      <c r="AD396" s="680"/>
      <c r="AE396" s="964"/>
      <c r="AF396" s="958"/>
      <c r="AG396" s="958"/>
      <c r="AH396" s="958"/>
      <c r="AI396" s="680"/>
      <c r="AJ396" s="968" t="s">
        <v>2193</v>
      </c>
      <c r="AK396" s="968" t="s">
        <v>2193</v>
      </c>
      <c r="AL396" s="968" t="s">
        <v>2193</v>
      </c>
      <c r="AM396" s="968" t="s">
        <v>2194</v>
      </c>
      <c r="AN396" s="968" t="s">
        <v>2194</v>
      </c>
      <c r="AO396" s="968" t="s">
        <v>2194</v>
      </c>
      <c r="AP396" s="968" t="s">
        <v>2194</v>
      </c>
      <c r="AQ396" s="968" t="s">
        <v>2194</v>
      </c>
      <c r="AR396" s="968" t="s">
        <v>2194</v>
      </c>
      <c r="AS396" s="680"/>
      <c r="AT396" s="964"/>
      <c r="AU396" s="958"/>
      <c r="AV396" s="958"/>
      <c r="AW396" s="958"/>
      <c r="AX396" s="958"/>
      <c r="AY396" s="958"/>
      <c r="AZ396" s="958"/>
      <c r="BA396" s="958"/>
      <c r="BB396" s="680"/>
      <c r="BC396" s="958" t="s">
        <v>2141</v>
      </c>
      <c r="BD396" s="966" t="s">
        <v>2141</v>
      </c>
      <c r="BE396" s="966" t="s">
        <v>2141</v>
      </c>
      <c r="BF396" s="966" t="s">
        <v>2141</v>
      </c>
      <c r="BG396" s="966" t="s">
        <v>2141</v>
      </c>
      <c r="BH396" s="959" t="s">
        <v>2158</v>
      </c>
      <c r="BI396" s="959" t="s">
        <v>2158</v>
      </c>
      <c r="BJ396" s="680"/>
      <c r="BK396" s="964"/>
      <c r="BL396" s="966"/>
      <c r="BM396" s="680"/>
      <c r="BN396" s="901" t="s">
        <v>2146</v>
      </c>
      <c r="BO396" s="901" t="s">
        <v>2147</v>
      </c>
      <c r="BP396" s="901" t="s">
        <v>2443</v>
      </c>
    </row>
    <row r="397" spans="1:69" s="928" customFormat="1" ht="15">
      <c r="A397" s="960">
        <v>283</v>
      </c>
      <c r="B397" s="622" t="s">
        <v>1892</v>
      </c>
      <c r="C397" s="752" t="s">
        <v>2051</v>
      </c>
      <c r="D397" s="928" t="s">
        <v>2050</v>
      </c>
      <c r="E397" s="973"/>
      <c r="F397" s="928" t="s">
        <v>1996</v>
      </c>
      <c r="G397" s="928" t="s">
        <v>1997</v>
      </c>
      <c r="H397" s="928" t="s">
        <v>541</v>
      </c>
      <c r="I397" s="928">
        <v>-2.92</v>
      </c>
      <c r="J397" s="928">
        <v>88.105999999999995</v>
      </c>
      <c r="K397" s="928">
        <v>1000000</v>
      </c>
      <c r="L397" s="928">
        <v>20</v>
      </c>
      <c r="M397" s="928">
        <f>38.09*101325/760</f>
        <v>5078.2490131578952</v>
      </c>
      <c r="N397" s="928">
        <v>25</v>
      </c>
      <c r="O397" s="928">
        <v>0.496</v>
      </c>
      <c r="P397" s="928">
        <v>25</v>
      </c>
      <c r="Q397" s="928" t="s">
        <v>541</v>
      </c>
      <c r="R397" s="928" t="s">
        <v>541</v>
      </c>
      <c r="S397" s="928">
        <v>-0.27</v>
      </c>
      <c r="T397" s="686">
        <f>10^S397</f>
        <v>0.53703179637025267</v>
      </c>
      <c r="U397" s="928">
        <v>1.23</v>
      </c>
      <c r="V397" s="790">
        <f>10^U397</f>
        <v>16.982436524617448</v>
      </c>
      <c r="W397" s="680"/>
      <c r="X397" s="969">
        <v>0.03</v>
      </c>
      <c r="Y397" s="928">
        <v>0.03</v>
      </c>
      <c r="Z397" s="928">
        <v>0.03</v>
      </c>
      <c r="AA397" s="928">
        <v>5.0000000000000001E-3</v>
      </c>
      <c r="AB397" s="928">
        <v>0.1</v>
      </c>
      <c r="AC397" s="921">
        <v>0.1</v>
      </c>
      <c r="AD397" s="680"/>
      <c r="AE397" s="969"/>
      <c r="AI397" s="979"/>
      <c r="AJ397" s="970">
        <v>5.2749127629208503E-3</v>
      </c>
      <c r="AK397" s="970">
        <v>5.2749127629208503E-3</v>
      </c>
      <c r="AL397" s="970">
        <v>5.2749127629208503E-3</v>
      </c>
      <c r="AM397" s="970">
        <v>1.7011174562726701E-3</v>
      </c>
      <c r="AN397" s="970">
        <v>1.7011174562726701E-3</v>
      </c>
      <c r="AO397" s="970">
        <v>1.7011174562726701E-3</v>
      </c>
      <c r="AP397" s="970">
        <v>1.7011174562726701E-3</v>
      </c>
      <c r="AQ397" s="970">
        <v>1.7011174562726701E-3</v>
      </c>
      <c r="AR397" s="970">
        <v>1.7011174562726701E-3</v>
      </c>
      <c r="AS397" s="680"/>
      <c r="AT397" s="969"/>
      <c r="BB397" s="979"/>
      <c r="BD397" s="921"/>
      <c r="BE397" s="921"/>
      <c r="BF397" s="921"/>
      <c r="BG397" s="921"/>
      <c r="BH397" s="921">
        <v>0</v>
      </c>
      <c r="BI397" s="921">
        <v>0</v>
      </c>
      <c r="BJ397" s="680"/>
      <c r="BK397" s="969"/>
      <c r="BL397" s="921"/>
      <c r="BM397" s="680"/>
      <c r="BO397" s="928">
        <v>0.25</v>
      </c>
      <c r="BP397" s="928">
        <v>1</v>
      </c>
      <c r="BQ397" s="969"/>
    </row>
    <row r="398" spans="1:69" s="928" customFormat="1" ht="76.5">
      <c r="E398" s="973"/>
      <c r="H398" s="679" t="s">
        <v>2056</v>
      </c>
      <c r="I398" s="928" t="s">
        <v>2008</v>
      </c>
      <c r="J398" s="679" t="s">
        <v>2057</v>
      </c>
      <c r="K398" s="679" t="s">
        <v>2058</v>
      </c>
      <c r="L398" s="928" t="s">
        <v>2030</v>
      </c>
      <c r="M398" s="679" t="s">
        <v>2059</v>
      </c>
      <c r="N398" s="928" t="s">
        <v>2030</v>
      </c>
      <c r="O398" s="679" t="s">
        <v>2060</v>
      </c>
      <c r="P398" s="928" t="s">
        <v>2030</v>
      </c>
      <c r="Q398" s="928" t="s">
        <v>2012</v>
      </c>
      <c r="S398" s="679" t="s">
        <v>2061</v>
      </c>
      <c r="U398" s="928" t="s">
        <v>2062</v>
      </c>
      <c r="V398" s="921"/>
      <c r="W398" s="680"/>
      <c r="X398" s="712" t="s">
        <v>2122</v>
      </c>
      <c r="Y398" s="679" t="s">
        <v>2436</v>
      </c>
      <c r="Z398" s="679" t="s">
        <v>2436</v>
      </c>
      <c r="AA398" s="679" t="s">
        <v>2123</v>
      </c>
      <c r="AB398" s="679" t="s">
        <v>2124</v>
      </c>
      <c r="AC398" s="707" t="s">
        <v>2124</v>
      </c>
      <c r="AD398" s="680"/>
      <c r="AE398" s="969"/>
      <c r="AI398" s="979"/>
      <c r="AJ398" s="679" t="s">
        <v>2193</v>
      </c>
      <c r="AK398" s="679" t="s">
        <v>2193</v>
      </c>
      <c r="AL398" s="679" t="s">
        <v>2193</v>
      </c>
      <c r="AM398" s="679" t="s">
        <v>2194</v>
      </c>
      <c r="AN398" s="679" t="s">
        <v>2194</v>
      </c>
      <c r="AO398" s="679" t="s">
        <v>2194</v>
      </c>
      <c r="AP398" s="679" t="s">
        <v>2194</v>
      </c>
      <c r="AQ398" s="679" t="s">
        <v>2194</v>
      </c>
      <c r="AR398" s="679" t="s">
        <v>2194</v>
      </c>
      <c r="AS398" s="680"/>
      <c r="AT398" s="969"/>
      <c r="BB398" s="979"/>
      <c r="BC398" s="871" t="s">
        <v>2141</v>
      </c>
      <c r="BD398" s="871" t="s">
        <v>2141</v>
      </c>
      <c r="BE398" s="871" t="s">
        <v>2141</v>
      </c>
      <c r="BF398" s="871" t="s">
        <v>2141</v>
      </c>
      <c r="BG398" s="871" t="s">
        <v>2141</v>
      </c>
      <c r="BH398" s="925" t="s">
        <v>2158</v>
      </c>
      <c r="BI398" s="925" t="s">
        <v>2158</v>
      </c>
      <c r="BJ398" s="680"/>
      <c r="BK398" s="969"/>
      <c r="BL398" s="921"/>
      <c r="BM398" s="680"/>
      <c r="BN398" s="928" t="s">
        <v>2146</v>
      </c>
      <c r="BO398" s="928" t="s">
        <v>2147</v>
      </c>
      <c r="BP398" s="928" t="s">
        <v>2147</v>
      </c>
      <c r="BQ398" s="969"/>
    </row>
    <row r="399" spans="1:69" s="194" customFormat="1">
      <c r="A399" s="197"/>
      <c r="B399" s="197"/>
      <c r="C399" s="198"/>
      <c r="D399" s="198"/>
      <c r="E399" s="728"/>
      <c r="W399" s="674"/>
      <c r="AD399" s="674"/>
      <c r="AI399" s="674"/>
      <c r="AJ399" s="195"/>
      <c r="AK399" s="195"/>
      <c r="AL399" s="195"/>
      <c r="AM399" s="195"/>
      <c r="AN399" s="195"/>
      <c r="AO399" s="195"/>
      <c r="AP399" s="195"/>
      <c r="AQ399" s="195"/>
      <c r="AR399" s="195"/>
      <c r="AS399" s="674"/>
      <c r="AT399" s="195"/>
      <c r="AU399" s="195"/>
      <c r="AV399" s="195"/>
      <c r="AW399" s="195"/>
      <c r="AX399" s="195"/>
      <c r="AY399" s="195"/>
      <c r="AZ399" s="195"/>
      <c r="BA399" s="195"/>
      <c r="BB399" s="674"/>
      <c r="BJ399" s="674"/>
      <c r="BM399" s="674"/>
    </row>
    <row r="400" spans="1:69" s="194" customFormat="1">
      <c r="A400" s="197"/>
      <c r="B400" s="197"/>
      <c r="C400" s="198"/>
      <c r="D400" s="198"/>
      <c r="E400" s="728"/>
      <c r="W400" s="674"/>
      <c r="AD400" s="674"/>
      <c r="AI400" s="674"/>
      <c r="AJ400" s="195"/>
      <c r="AK400" s="195"/>
      <c r="AL400" s="195"/>
      <c r="AM400" s="195"/>
      <c r="AN400" s="195"/>
      <c r="AO400" s="195"/>
      <c r="AP400" s="195"/>
      <c r="AQ400" s="195"/>
      <c r="AR400" s="195"/>
      <c r="AS400" s="674"/>
      <c r="AT400" s="195"/>
      <c r="AU400" s="195"/>
      <c r="AV400" s="195"/>
      <c r="AW400" s="195"/>
      <c r="AX400" s="195"/>
      <c r="AY400" s="195"/>
      <c r="AZ400" s="195"/>
      <c r="BA400" s="195"/>
      <c r="BB400" s="674"/>
      <c r="BJ400" s="674"/>
      <c r="BM400" s="674"/>
    </row>
    <row r="401" spans="1:65" s="194" customFormat="1">
      <c r="A401" s="197"/>
      <c r="B401" s="197"/>
      <c r="C401" s="198"/>
      <c r="D401" s="198"/>
      <c r="E401" s="728"/>
      <c r="W401" s="674"/>
      <c r="AD401" s="674"/>
      <c r="AI401" s="674"/>
      <c r="AJ401" s="195"/>
      <c r="AK401" s="195"/>
      <c r="AL401" s="195"/>
      <c r="AM401" s="195"/>
      <c r="AN401" s="195"/>
      <c r="AO401" s="195"/>
      <c r="AP401" s="195"/>
      <c r="AQ401" s="195"/>
      <c r="AR401" s="195"/>
      <c r="AS401" s="674"/>
      <c r="AT401" s="195"/>
      <c r="AU401" s="195"/>
      <c r="AV401" s="195"/>
      <c r="AW401" s="195"/>
      <c r="AX401" s="195"/>
      <c r="AY401" s="195"/>
      <c r="AZ401" s="195"/>
      <c r="BA401" s="195"/>
      <c r="BB401" s="674"/>
      <c r="BJ401" s="674"/>
      <c r="BM401" s="674"/>
    </row>
    <row r="402" spans="1:65" s="194" customFormat="1">
      <c r="A402" s="197"/>
      <c r="B402" s="197"/>
      <c r="C402" s="198"/>
      <c r="D402" s="198"/>
      <c r="E402" s="728"/>
      <c r="W402" s="674"/>
      <c r="AD402" s="674"/>
      <c r="AI402" s="674"/>
      <c r="AJ402" s="195"/>
      <c r="AK402" s="195"/>
      <c r="AL402" s="195"/>
      <c r="AM402" s="195"/>
      <c r="AN402" s="195"/>
      <c r="AO402" s="195"/>
      <c r="AP402" s="195"/>
      <c r="AQ402" s="195"/>
      <c r="AR402" s="195"/>
      <c r="AS402" s="674"/>
      <c r="AT402" s="195"/>
      <c r="AU402" s="195"/>
      <c r="AV402" s="195"/>
      <c r="AW402" s="195"/>
      <c r="AX402" s="195"/>
      <c r="AY402" s="195"/>
      <c r="AZ402" s="195"/>
      <c r="BA402" s="195"/>
      <c r="BB402" s="674"/>
      <c r="BJ402" s="674"/>
      <c r="BM402" s="674"/>
    </row>
    <row r="403" spans="1:65" s="194" customFormat="1">
      <c r="A403" s="197"/>
      <c r="B403" s="197"/>
      <c r="C403" s="198"/>
      <c r="D403" s="198"/>
      <c r="E403" s="728"/>
      <c r="W403" s="674"/>
      <c r="AD403" s="674"/>
      <c r="AI403" s="674"/>
      <c r="AJ403" s="195"/>
      <c r="AK403" s="195"/>
      <c r="AL403" s="195"/>
      <c r="AM403" s="195"/>
      <c r="AN403" s="195"/>
      <c r="AO403" s="195"/>
      <c r="AP403" s="195"/>
      <c r="AQ403" s="195"/>
      <c r="AR403" s="195"/>
      <c r="AS403" s="674"/>
      <c r="AT403" s="195"/>
      <c r="AU403" s="195"/>
      <c r="AV403" s="195"/>
      <c r="AW403" s="195"/>
      <c r="AX403" s="195"/>
      <c r="AY403" s="195"/>
      <c r="AZ403" s="195"/>
      <c r="BA403" s="195"/>
      <c r="BB403" s="674"/>
      <c r="BJ403" s="674"/>
      <c r="BM403" s="674"/>
    </row>
    <row r="404" spans="1:65" s="194" customFormat="1">
      <c r="C404" s="198"/>
      <c r="D404" s="198"/>
      <c r="E404" s="728"/>
      <c r="W404" s="674"/>
      <c r="AD404" s="674"/>
      <c r="AI404" s="674"/>
      <c r="AJ404" s="195"/>
      <c r="AK404" s="195"/>
      <c r="AL404" s="195"/>
      <c r="AM404" s="195"/>
      <c r="AN404" s="195"/>
      <c r="AO404" s="195"/>
      <c r="AP404" s="195"/>
      <c r="AQ404" s="195"/>
      <c r="AR404" s="195"/>
      <c r="AS404" s="674"/>
      <c r="AT404" s="195"/>
      <c r="AU404" s="195"/>
      <c r="AV404" s="195"/>
      <c r="AW404" s="195"/>
      <c r="AX404" s="195"/>
      <c r="AY404" s="195"/>
      <c r="AZ404" s="195"/>
      <c r="BA404" s="195"/>
      <c r="BB404" s="674"/>
      <c r="BJ404" s="674"/>
      <c r="BM404" s="674"/>
    </row>
    <row r="405" spans="1:65" s="194" customFormat="1">
      <c r="C405" s="198"/>
      <c r="D405" s="198"/>
      <c r="E405" s="728"/>
      <c r="W405" s="674"/>
      <c r="AD405" s="674"/>
      <c r="AI405" s="674"/>
      <c r="AJ405" s="195"/>
      <c r="AK405" s="195"/>
      <c r="AL405" s="195"/>
      <c r="AM405" s="195"/>
      <c r="AN405" s="195"/>
      <c r="AO405" s="195"/>
      <c r="AP405" s="195"/>
      <c r="AQ405" s="195"/>
      <c r="AR405" s="195"/>
      <c r="AS405" s="674"/>
      <c r="AT405" s="195"/>
      <c r="AU405" s="195"/>
      <c r="AV405" s="195"/>
      <c r="AW405" s="195"/>
      <c r="AX405" s="195"/>
      <c r="AY405" s="195"/>
      <c r="AZ405" s="195"/>
      <c r="BA405" s="195"/>
      <c r="BB405" s="674"/>
      <c r="BJ405" s="674"/>
      <c r="BM405" s="674"/>
    </row>
  </sheetData>
  <mergeCells count="63">
    <mergeCell ref="AG2:AH2"/>
    <mergeCell ref="AJ2:AJ3"/>
    <mergeCell ref="Q2:Q3"/>
    <mergeCell ref="S2:S3"/>
    <mergeCell ref="T2:T3"/>
    <mergeCell ref="U2:U3"/>
    <mergeCell ref="V2:V3"/>
    <mergeCell ref="R2:R3"/>
    <mergeCell ref="AE2:AF2"/>
    <mergeCell ref="D2:D4"/>
    <mergeCell ref="A1:D1"/>
    <mergeCell ref="J2:J3"/>
    <mergeCell ref="G2:G3"/>
    <mergeCell ref="H2:H3"/>
    <mergeCell ref="I2:I3"/>
    <mergeCell ref="BH2:BH3"/>
    <mergeCell ref="AE1:AH1"/>
    <mergeCell ref="X2:Z2"/>
    <mergeCell ref="AA2:AC2"/>
    <mergeCell ref="A2:A4"/>
    <mergeCell ref="B2:B4"/>
    <mergeCell ref="C2:C4"/>
    <mergeCell ref="F2:F3"/>
    <mergeCell ref="P2:P3"/>
    <mergeCell ref="F1:V1"/>
    <mergeCell ref="X1:AC1"/>
    <mergeCell ref="K2:K3"/>
    <mergeCell ref="L2:L3"/>
    <mergeCell ref="M2:M3"/>
    <mergeCell ref="N2:N3"/>
    <mergeCell ref="O2:O3"/>
    <mergeCell ref="AX2:AX3"/>
    <mergeCell ref="BA2:BA3"/>
    <mergeCell ref="BC2:BC3"/>
    <mergeCell ref="AZ2:AZ3"/>
    <mergeCell ref="BN1:BP1"/>
    <mergeCell ref="BN2:BN3"/>
    <mergeCell ref="BO2:BO3"/>
    <mergeCell ref="BP2:BP3"/>
    <mergeCell ref="BK2:BK3"/>
    <mergeCell ref="BK1:BL1"/>
    <mergeCell ref="BL2:BL3"/>
    <mergeCell ref="BC1:BI1"/>
    <mergeCell ref="BD2:BD3"/>
    <mergeCell ref="BE2:BE3"/>
    <mergeCell ref="BF2:BF3"/>
    <mergeCell ref="BG2:BG3"/>
    <mergeCell ref="AY2:AY3"/>
    <mergeCell ref="BI2:BI3"/>
    <mergeCell ref="AT2:AT3"/>
    <mergeCell ref="AT1:BA1"/>
    <mergeCell ref="AK2:AK3"/>
    <mergeCell ref="AL2:AL3"/>
    <mergeCell ref="AM2:AM3"/>
    <mergeCell ref="AN2:AN3"/>
    <mergeCell ref="AO2:AO3"/>
    <mergeCell ref="AP2:AP3"/>
    <mergeCell ref="AQ2:AQ3"/>
    <mergeCell ref="AR2:AR3"/>
    <mergeCell ref="AJ1:AR1"/>
    <mergeCell ref="AV2:AV3"/>
    <mergeCell ref="AU2:AU3"/>
    <mergeCell ref="AW2:AW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sheetPr>
    <tabColor theme="3"/>
  </sheetPr>
  <dimension ref="B2:E33"/>
  <sheetViews>
    <sheetView tabSelected="1" workbookViewId="0">
      <selection activeCell="D3" sqref="D3"/>
    </sheetView>
  </sheetViews>
  <sheetFormatPr baseColWidth="10" defaultRowHeight="15"/>
  <cols>
    <col min="1" max="1" width="5.140625" customWidth="1"/>
    <col min="3" max="3" width="24.42578125" customWidth="1"/>
    <col min="4" max="4" width="17.5703125" customWidth="1"/>
    <col min="5" max="5" width="94.140625" customWidth="1"/>
  </cols>
  <sheetData>
    <row r="2" spans="2:5">
      <c r="B2" s="125" t="s">
        <v>2558</v>
      </c>
    </row>
    <row r="4" spans="2:5">
      <c r="B4" s="126" t="s">
        <v>450</v>
      </c>
      <c r="C4" s="126" t="s">
        <v>597</v>
      </c>
      <c r="D4" s="126" t="s">
        <v>598</v>
      </c>
      <c r="E4" s="126" t="s">
        <v>599</v>
      </c>
    </row>
    <row r="5" spans="2:5">
      <c r="B5" s="127"/>
      <c r="C5" s="128"/>
      <c r="D5" s="128"/>
      <c r="E5" s="128"/>
    </row>
    <row r="6" spans="2:5">
      <c r="B6" s="1149" t="s">
        <v>600</v>
      </c>
      <c r="C6" s="1150"/>
      <c r="D6" s="1150"/>
      <c r="E6" s="1151"/>
    </row>
    <row r="7" spans="2:5">
      <c r="B7" s="127"/>
      <c r="C7" s="128"/>
      <c r="D7" s="128"/>
      <c r="E7" s="128"/>
    </row>
    <row r="8" spans="2:5" ht="45">
      <c r="B8" s="129" t="s">
        <v>459</v>
      </c>
      <c r="C8" s="249" t="s">
        <v>1723</v>
      </c>
      <c r="D8" s="129" t="s">
        <v>461</v>
      </c>
      <c r="E8" s="132" t="s">
        <v>601</v>
      </c>
    </row>
    <row r="9" spans="2:5" ht="30">
      <c r="B9" s="129" t="s">
        <v>462</v>
      </c>
      <c r="C9" s="130" t="s">
        <v>463</v>
      </c>
      <c r="D9" s="129" t="s">
        <v>218</v>
      </c>
      <c r="E9" s="130" t="s">
        <v>602</v>
      </c>
    </row>
    <row r="10" spans="2:5" s="224" customFormat="1" ht="60">
      <c r="B10" s="140" t="s">
        <v>1426</v>
      </c>
      <c r="C10" s="249" t="s">
        <v>1572</v>
      </c>
      <c r="D10" s="142" t="s">
        <v>1425</v>
      </c>
      <c r="E10" s="130" t="s">
        <v>1431</v>
      </c>
    </row>
    <row r="11" spans="2:5" s="225" customFormat="1" ht="45">
      <c r="B11" s="140" t="s">
        <v>1427</v>
      </c>
      <c r="C11" s="249" t="s">
        <v>1574</v>
      </c>
      <c r="D11" s="140" t="s">
        <v>1428</v>
      </c>
      <c r="E11" s="130" t="s">
        <v>1432</v>
      </c>
    </row>
    <row r="12" spans="2:5" s="226" customFormat="1" ht="90">
      <c r="B12" s="140" t="s">
        <v>1430</v>
      </c>
      <c r="C12" s="249" t="s">
        <v>1769</v>
      </c>
      <c r="D12" s="140" t="s">
        <v>1429</v>
      </c>
      <c r="E12" s="130" t="s">
        <v>1433</v>
      </c>
    </row>
    <row r="13" spans="2:5">
      <c r="B13" s="129"/>
      <c r="C13" s="133"/>
      <c r="D13" s="134"/>
      <c r="E13" s="135"/>
    </row>
    <row r="14" spans="2:5">
      <c r="B14" s="1152" t="s">
        <v>603</v>
      </c>
      <c r="C14" s="1153"/>
      <c r="D14" s="1153"/>
      <c r="E14" s="1154"/>
    </row>
    <row r="15" spans="2:5" s="139" customFormat="1">
      <c r="B15" s="131"/>
      <c r="C15" s="136"/>
      <c r="D15" s="137"/>
      <c r="E15" s="138"/>
    </row>
    <row r="16" spans="2:5" ht="30">
      <c r="B16" s="129" t="s">
        <v>465</v>
      </c>
      <c r="C16" s="249" t="s">
        <v>1586</v>
      </c>
      <c r="D16" s="129" t="s">
        <v>464</v>
      </c>
      <c r="E16" s="130" t="s">
        <v>604</v>
      </c>
    </row>
    <row r="17" spans="2:5" ht="30">
      <c r="B17" s="129" t="s">
        <v>458</v>
      </c>
      <c r="C17" s="249" t="s">
        <v>1591</v>
      </c>
      <c r="D17" s="129" t="s">
        <v>466</v>
      </c>
      <c r="E17" s="130" t="s">
        <v>605</v>
      </c>
    </row>
    <row r="18" spans="2:5" ht="135">
      <c r="B18" s="129" t="s">
        <v>468</v>
      </c>
      <c r="C18" s="249" t="s">
        <v>467</v>
      </c>
      <c r="D18" s="140" t="s">
        <v>606</v>
      </c>
      <c r="E18" s="130" t="s">
        <v>607</v>
      </c>
    </row>
    <row r="19" spans="2:5" ht="38.25">
      <c r="B19" s="129" t="s">
        <v>470</v>
      </c>
      <c r="C19" s="249" t="s">
        <v>1618</v>
      </c>
      <c r="D19" s="141" t="s">
        <v>469</v>
      </c>
      <c r="E19" s="132" t="s">
        <v>608</v>
      </c>
    </row>
    <row r="20" spans="2:5" ht="38.25">
      <c r="B20" s="129" t="s">
        <v>472</v>
      </c>
      <c r="C20" s="249" t="s">
        <v>1617</v>
      </c>
      <c r="D20" s="140" t="s">
        <v>471</v>
      </c>
      <c r="E20" s="132" t="s">
        <v>609</v>
      </c>
    </row>
    <row r="21" spans="2:5" ht="89.25">
      <c r="B21" s="129" t="s">
        <v>474</v>
      </c>
      <c r="C21" s="249" t="s">
        <v>1672</v>
      </c>
      <c r="D21" s="129" t="s">
        <v>473</v>
      </c>
      <c r="E21" s="132" t="s">
        <v>610</v>
      </c>
    </row>
    <row r="22" spans="2:5" ht="135">
      <c r="B22" s="129" t="s">
        <v>477</v>
      </c>
      <c r="C22" s="249" t="s">
        <v>475</v>
      </c>
      <c r="D22" s="142" t="s">
        <v>476</v>
      </c>
      <c r="E22" s="130" t="s">
        <v>607</v>
      </c>
    </row>
    <row r="23" spans="2:5" ht="120">
      <c r="B23" s="129" t="s">
        <v>480</v>
      </c>
      <c r="C23" s="249" t="s">
        <v>611</v>
      </c>
      <c r="D23" s="129" t="s">
        <v>478</v>
      </c>
      <c r="E23" s="130" t="s">
        <v>612</v>
      </c>
    </row>
    <row r="24" spans="2:5" ht="30">
      <c r="B24" s="129" t="s">
        <v>481</v>
      </c>
      <c r="C24" s="249" t="s">
        <v>1746</v>
      </c>
      <c r="D24" s="143" t="s">
        <v>479</v>
      </c>
      <c r="E24" s="130" t="s">
        <v>613</v>
      </c>
    </row>
    <row r="25" spans="2:5" ht="135">
      <c r="B25" s="129" t="s">
        <v>483</v>
      </c>
      <c r="C25" s="249" t="s">
        <v>482</v>
      </c>
      <c r="D25" s="144" t="s">
        <v>614</v>
      </c>
      <c r="E25" s="130" t="s">
        <v>607</v>
      </c>
    </row>
    <row r="26" spans="2:5" ht="135">
      <c r="B26" s="129" t="s">
        <v>486</v>
      </c>
      <c r="C26" s="249" t="s">
        <v>484</v>
      </c>
      <c r="D26" s="142" t="s">
        <v>485</v>
      </c>
      <c r="E26" s="130" t="s">
        <v>615</v>
      </c>
    </row>
    <row r="27" spans="2:5" ht="45">
      <c r="B27" s="129" t="s">
        <v>488</v>
      </c>
      <c r="C27" s="249" t="s">
        <v>1767</v>
      </c>
      <c r="D27" s="129" t="s">
        <v>487</v>
      </c>
      <c r="E27" s="130" t="s">
        <v>616</v>
      </c>
    </row>
    <row r="28" spans="2:5" s="439" customFormat="1" ht="60">
      <c r="B28" s="129" t="s">
        <v>1976</v>
      </c>
      <c r="C28" s="249" t="s">
        <v>1955</v>
      </c>
      <c r="D28" s="129" t="s">
        <v>1933</v>
      </c>
      <c r="E28" s="130" t="s">
        <v>1978</v>
      </c>
    </row>
    <row r="29" spans="2:5">
      <c r="B29" s="129"/>
      <c r="C29" s="129"/>
      <c r="D29" s="129"/>
      <c r="E29" s="132"/>
    </row>
    <row r="30" spans="2:5">
      <c r="B30" s="1152" t="s">
        <v>617</v>
      </c>
      <c r="C30" s="1153"/>
      <c r="D30" s="1153"/>
      <c r="E30" s="1154"/>
    </row>
    <row r="31" spans="2:5">
      <c r="B31" s="129"/>
      <c r="C31" s="145"/>
      <c r="D31" s="129"/>
      <c r="E31" s="130"/>
    </row>
    <row r="32" spans="2:5" ht="75">
      <c r="B32" s="129" t="s">
        <v>490</v>
      </c>
      <c r="C32" s="130" t="s">
        <v>489</v>
      </c>
      <c r="D32" s="129" t="s">
        <v>218</v>
      </c>
      <c r="E32" s="130" t="s">
        <v>618</v>
      </c>
    </row>
    <row r="33" spans="2:5">
      <c r="B33" s="129" t="s">
        <v>491</v>
      </c>
      <c r="C33" s="130" t="s">
        <v>619</v>
      </c>
      <c r="D33" s="129" t="s">
        <v>218</v>
      </c>
      <c r="E33" s="130" t="s">
        <v>620</v>
      </c>
    </row>
  </sheetData>
  <mergeCells count="3">
    <mergeCell ref="B6:E6"/>
    <mergeCell ref="B14:E14"/>
    <mergeCell ref="B30:E3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tabColor rgb="FFFF0000"/>
  </sheetPr>
  <dimension ref="B2:L324"/>
  <sheetViews>
    <sheetView workbookViewId="0">
      <selection activeCell="D18" sqref="D18"/>
    </sheetView>
  </sheetViews>
  <sheetFormatPr baseColWidth="10" defaultRowHeight="15"/>
  <cols>
    <col min="1" max="1" width="6.5703125" customWidth="1"/>
    <col min="2" max="2" width="29.85546875" style="34" customWidth="1"/>
    <col min="3" max="3" width="24.28515625" style="34" customWidth="1"/>
    <col min="4" max="4" width="15.42578125" style="32" customWidth="1"/>
    <col min="5" max="5" width="12.28515625" style="32" customWidth="1"/>
    <col min="6" max="6" width="14.42578125" style="32" customWidth="1"/>
  </cols>
  <sheetData>
    <row r="2" spans="2:6">
      <c r="B2" s="982" t="s">
        <v>452</v>
      </c>
      <c r="C2" s="35"/>
    </row>
    <row r="3" spans="2:6">
      <c r="B3" s="33"/>
      <c r="C3" s="33"/>
    </row>
    <row r="4" spans="2:6">
      <c r="B4" s="33" t="s">
        <v>456</v>
      </c>
      <c r="C4" s="33"/>
    </row>
    <row r="5" spans="2:6">
      <c r="B5" s="33"/>
      <c r="C5" s="33"/>
    </row>
    <row r="6" spans="2:6">
      <c r="B6" s="33" t="s">
        <v>1357</v>
      </c>
      <c r="C6" s="33"/>
    </row>
    <row r="7" spans="2:6">
      <c r="B7" s="33" t="s">
        <v>455</v>
      </c>
      <c r="C7" s="33"/>
    </row>
    <row r="8" spans="2:6">
      <c r="B8" s="33" t="s">
        <v>1358</v>
      </c>
      <c r="C8" s="33"/>
    </row>
    <row r="9" spans="2:6">
      <c r="B9" s="33"/>
      <c r="C9" s="33"/>
    </row>
    <row r="10" spans="2:6">
      <c r="B10" s="33" t="s">
        <v>457</v>
      </c>
      <c r="C10" s="33"/>
    </row>
    <row r="11" spans="2:6">
      <c r="B11" s="33" t="s">
        <v>1395</v>
      </c>
      <c r="C11" s="33"/>
    </row>
    <row r="13" spans="2:6" ht="56.25" customHeight="1">
      <c r="B13" s="52" t="s">
        <v>1465</v>
      </c>
      <c r="C13" s="52" t="s">
        <v>1475</v>
      </c>
      <c r="D13" s="53" t="s">
        <v>46</v>
      </c>
      <c r="E13" s="54" t="s">
        <v>450</v>
      </c>
      <c r="F13" s="52" t="s">
        <v>451</v>
      </c>
    </row>
    <row r="14" spans="2:6" ht="30">
      <c r="B14" s="657" t="s">
        <v>1590</v>
      </c>
      <c r="C14" s="621" t="s">
        <v>1789</v>
      </c>
      <c r="D14" s="621" t="s">
        <v>146</v>
      </c>
      <c r="E14" s="617">
        <v>191</v>
      </c>
      <c r="F14" s="621" t="s">
        <v>36</v>
      </c>
    </row>
    <row r="15" spans="2:6" ht="60">
      <c r="B15" s="621" t="s">
        <v>1688</v>
      </c>
      <c r="C15" s="621" t="s">
        <v>1687</v>
      </c>
      <c r="D15" s="1006" t="s">
        <v>392</v>
      </c>
      <c r="E15" s="617">
        <v>135</v>
      </c>
      <c r="F15" s="621" t="s">
        <v>1394</v>
      </c>
    </row>
    <row r="16" spans="2:6" ht="30">
      <c r="B16" s="621" t="s">
        <v>1696</v>
      </c>
      <c r="C16" s="621" t="s">
        <v>1699</v>
      </c>
      <c r="D16" s="621" t="s">
        <v>182</v>
      </c>
      <c r="E16" s="617">
        <v>194</v>
      </c>
      <c r="F16" s="743" t="s">
        <v>176</v>
      </c>
    </row>
    <row r="17" spans="2:6" ht="30">
      <c r="B17" s="621" t="s">
        <v>218</v>
      </c>
      <c r="C17" s="621" t="s">
        <v>1508</v>
      </c>
      <c r="D17" s="1006" t="s">
        <v>357</v>
      </c>
      <c r="E17" s="617">
        <v>86</v>
      </c>
      <c r="F17" s="621" t="s">
        <v>189</v>
      </c>
    </row>
    <row r="18" spans="2:6" ht="30">
      <c r="B18" s="621" t="s">
        <v>218</v>
      </c>
      <c r="C18" s="621" t="s">
        <v>1520</v>
      </c>
      <c r="D18" s="1006" t="s">
        <v>358</v>
      </c>
      <c r="E18" s="617">
        <v>87</v>
      </c>
      <c r="F18" s="621" t="s">
        <v>189</v>
      </c>
    </row>
    <row r="19" spans="2:6" s="227" customFormat="1">
      <c r="B19" s="621" t="s">
        <v>218</v>
      </c>
      <c r="C19" s="621" t="s">
        <v>350</v>
      </c>
      <c r="D19" s="1006" t="s">
        <v>349</v>
      </c>
      <c r="E19" s="617" t="s">
        <v>343</v>
      </c>
      <c r="F19" s="621" t="s">
        <v>1394</v>
      </c>
    </row>
    <row r="20" spans="2:6">
      <c r="B20" s="621" t="s">
        <v>218</v>
      </c>
      <c r="C20" s="621" t="s">
        <v>1585</v>
      </c>
      <c r="D20" s="621" t="s">
        <v>218</v>
      </c>
      <c r="E20" s="622" t="s">
        <v>491</v>
      </c>
      <c r="F20" s="620" t="s">
        <v>1394</v>
      </c>
    </row>
    <row r="21" spans="2:6">
      <c r="B21" s="621" t="s">
        <v>218</v>
      </c>
      <c r="C21" s="621" t="s">
        <v>1599</v>
      </c>
      <c r="D21" s="1006" t="s">
        <v>387</v>
      </c>
      <c r="E21" s="617">
        <v>127</v>
      </c>
      <c r="F21" s="621" t="s">
        <v>1394</v>
      </c>
    </row>
    <row r="22" spans="2:6" s="227" customFormat="1">
      <c r="B22" s="621" t="s">
        <v>218</v>
      </c>
      <c r="C22" s="621" t="s">
        <v>1619</v>
      </c>
      <c r="D22" s="1006" t="s">
        <v>352</v>
      </c>
      <c r="E22" s="617" t="s">
        <v>345</v>
      </c>
      <c r="F22" s="621" t="s">
        <v>1394</v>
      </c>
    </row>
    <row r="23" spans="2:6">
      <c r="B23" s="621" t="s">
        <v>218</v>
      </c>
      <c r="C23" s="621" t="s">
        <v>1675</v>
      </c>
      <c r="D23" s="1004" t="s">
        <v>351</v>
      </c>
      <c r="E23" s="617" t="s">
        <v>344</v>
      </c>
      <c r="F23" s="621" t="s">
        <v>1394</v>
      </c>
    </row>
    <row r="24" spans="2:6" s="227" customFormat="1">
      <c r="B24" s="621" t="s">
        <v>218</v>
      </c>
      <c r="C24" s="621" t="s">
        <v>1718</v>
      </c>
      <c r="D24" s="1006" t="s">
        <v>354</v>
      </c>
      <c r="E24" s="617">
        <v>74</v>
      </c>
      <c r="F24" s="621" t="s">
        <v>1394</v>
      </c>
    </row>
    <row r="25" spans="2:6" ht="19.5" customHeight="1">
      <c r="B25" s="621" t="s">
        <v>218</v>
      </c>
      <c r="C25" s="621" t="s">
        <v>1719</v>
      </c>
      <c r="D25" s="1006" t="s">
        <v>355</v>
      </c>
      <c r="E25" s="617">
        <v>75</v>
      </c>
      <c r="F25" s="621" t="s">
        <v>1394</v>
      </c>
    </row>
    <row r="26" spans="2:6" ht="21.75" customHeight="1">
      <c r="B26" s="621" t="s">
        <v>218</v>
      </c>
      <c r="C26" s="621" t="s">
        <v>126</v>
      </c>
      <c r="D26" s="620" t="s">
        <v>127</v>
      </c>
      <c r="E26" s="617" t="s">
        <v>332</v>
      </c>
      <c r="F26" s="621" t="s">
        <v>34</v>
      </c>
    </row>
    <row r="27" spans="2:6">
      <c r="B27" s="621" t="s">
        <v>218</v>
      </c>
      <c r="C27" s="621" t="s">
        <v>399</v>
      </c>
      <c r="D27" s="621" t="s">
        <v>218</v>
      </c>
      <c r="E27" s="617">
        <v>144</v>
      </c>
      <c r="F27" s="621" t="s">
        <v>1394</v>
      </c>
    </row>
    <row r="28" spans="2:6" ht="30">
      <c r="B28" s="621" t="s">
        <v>218</v>
      </c>
      <c r="C28" s="621" t="s">
        <v>489</v>
      </c>
      <c r="D28" s="621" t="s">
        <v>218</v>
      </c>
      <c r="E28" s="622" t="s">
        <v>490</v>
      </c>
      <c r="F28" s="621" t="s">
        <v>1394</v>
      </c>
    </row>
    <row r="29" spans="2:6" ht="30">
      <c r="B29" s="621" t="s">
        <v>218</v>
      </c>
      <c r="C29" s="621" t="s">
        <v>389</v>
      </c>
      <c r="D29" s="621" t="s">
        <v>218</v>
      </c>
      <c r="E29" s="617">
        <v>129</v>
      </c>
      <c r="F29" s="621" t="s">
        <v>1394</v>
      </c>
    </row>
    <row r="30" spans="2:6" ht="30">
      <c r="B30" s="621" t="s">
        <v>218</v>
      </c>
      <c r="C30" s="621" t="s">
        <v>463</v>
      </c>
      <c r="D30" s="1006" t="s">
        <v>218</v>
      </c>
      <c r="E30" s="622" t="s">
        <v>462</v>
      </c>
      <c r="F30" s="621" t="s">
        <v>218</v>
      </c>
    </row>
    <row r="31" spans="2:6" s="227" customFormat="1">
      <c r="B31" s="621" t="s">
        <v>1466</v>
      </c>
      <c r="C31" s="621"/>
      <c r="D31" s="620" t="s">
        <v>47</v>
      </c>
      <c r="E31" s="617">
        <v>90</v>
      </c>
      <c r="F31" s="621" t="s">
        <v>28</v>
      </c>
    </row>
    <row r="32" spans="2:6">
      <c r="B32" s="621" t="s">
        <v>1467</v>
      </c>
      <c r="C32" s="621"/>
      <c r="D32" s="621" t="s">
        <v>338</v>
      </c>
      <c r="E32" s="617">
        <v>12</v>
      </c>
      <c r="F32" s="621" t="s">
        <v>28</v>
      </c>
    </row>
    <row r="33" spans="2:6">
      <c r="B33" s="621" t="s">
        <v>1468</v>
      </c>
      <c r="C33" s="621"/>
      <c r="D33" s="620" t="s">
        <v>74</v>
      </c>
      <c r="E33" s="617">
        <v>52</v>
      </c>
      <c r="F33" s="621" t="s">
        <v>28</v>
      </c>
    </row>
    <row r="34" spans="2:6" ht="30">
      <c r="B34" s="621" t="s">
        <v>1733</v>
      </c>
      <c r="C34" s="621" t="s">
        <v>1732</v>
      </c>
      <c r="D34" s="1006" t="s">
        <v>430</v>
      </c>
      <c r="E34" s="617">
        <v>219</v>
      </c>
      <c r="F34" s="620" t="s">
        <v>1394</v>
      </c>
    </row>
    <row r="35" spans="2:6" ht="30">
      <c r="B35" s="752" t="s">
        <v>1924</v>
      </c>
      <c r="C35" s="752" t="s">
        <v>1923</v>
      </c>
      <c r="D35" s="1006" t="s">
        <v>1919</v>
      </c>
      <c r="E35" s="617">
        <v>260</v>
      </c>
      <c r="F35" s="622" t="s">
        <v>1394</v>
      </c>
    </row>
    <row r="36" spans="2:6">
      <c r="B36" s="621" t="s">
        <v>1469</v>
      </c>
      <c r="C36" s="621"/>
      <c r="D36" s="620" t="s">
        <v>115</v>
      </c>
      <c r="E36" s="617">
        <v>21</v>
      </c>
      <c r="F36" s="621" t="s">
        <v>36</v>
      </c>
    </row>
    <row r="37" spans="2:6" s="227" customFormat="1">
      <c r="B37" s="1054" t="s">
        <v>1473</v>
      </c>
      <c r="C37" s="604"/>
      <c r="D37" s="1006" t="s">
        <v>1438</v>
      </c>
      <c r="E37" s="622">
        <v>247</v>
      </c>
      <c r="F37" s="621" t="s">
        <v>1394</v>
      </c>
    </row>
    <row r="38" spans="2:6">
      <c r="B38" s="743" t="s">
        <v>1470</v>
      </c>
      <c r="C38" s="743"/>
      <c r="D38" s="1004" t="s">
        <v>418</v>
      </c>
      <c r="E38" s="617">
        <v>207</v>
      </c>
      <c r="F38" s="620" t="s">
        <v>1394</v>
      </c>
    </row>
    <row r="39" spans="2:6" s="227" customFormat="1">
      <c r="B39" s="620" t="s">
        <v>1446</v>
      </c>
      <c r="C39" s="640"/>
      <c r="D39" s="1006" t="s">
        <v>1439</v>
      </c>
      <c r="E39" s="622">
        <v>248</v>
      </c>
      <c r="F39" s="620" t="s">
        <v>1394</v>
      </c>
    </row>
    <row r="40" spans="2:6">
      <c r="B40" s="621" t="s">
        <v>1471</v>
      </c>
      <c r="C40" s="621"/>
      <c r="D40" s="620" t="s">
        <v>85</v>
      </c>
      <c r="E40" s="617">
        <v>18</v>
      </c>
      <c r="F40" s="621" t="s">
        <v>28</v>
      </c>
    </row>
    <row r="41" spans="2:6" s="227" customFormat="1">
      <c r="B41" s="744" t="s">
        <v>49</v>
      </c>
      <c r="C41" s="744"/>
      <c r="D41" s="621" t="s">
        <v>50</v>
      </c>
      <c r="E41" s="617">
        <v>108</v>
      </c>
      <c r="F41" s="621" t="s">
        <v>28</v>
      </c>
    </row>
    <row r="42" spans="2:6">
      <c r="B42" s="752" t="s">
        <v>1802</v>
      </c>
      <c r="C42" s="751"/>
      <c r="D42" s="1007" t="s">
        <v>1798</v>
      </c>
      <c r="E42" s="617">
        <v>254</v>
      </c>
      <c r="F42" s="622" t="s">
        <v>1394</v>
      </c>
    </row>
    <row r="43" spans="2:6">
      <c r="B43" s="621" t="s">
        <v>1474</v>
      </c>
      <c r="C43" s="621"/>
      <c r="D43" s="620" t="s">
        <v>116</v>
      </c>
      <c r="E43" s="617">
        <v>22</v>
      </c>
      <c r="F43" s="621" t="s">
        <v>36</v>
      </c>
    </row>
    <row r="44" spans="2:6">
      <c r="B44" s="620" t="s">
        <v>1448</v>
      </c>
      <c r="C44" s="640"/>
      <c r="D44" s="1006" t="s">
        <v>1440</v>
      </c>
      <c r="E44" s="622">
        <v>249</v>
      </c>
      <c r="F44" s="621" t="s">
        <v>1394</v>
      </c>
    </row>
    <row r="45" spans="2:6">
      <c r="B45" s="621" t="s">
        <v>1472</v>
      </c>
      <c r="C45" s="621"/>
      <c r="D45" s="620" t="s">
        <v>86</v>
      </c>
      <c r="E45" s="617">
        <v>19</v>
      </c>
      <c r="F45" s="621" t="s">
        <v>28</v>
      </c>
    </row>
    <row r="46" spans="2:6">
      <c r="B46" s="621" t="s">
        <v>1477</v>
      </c>
      <c r="C46" s="621" t="s">
        <v>1476</v>
      </c>
      <c r="D46" s="1006" t="s">
        <v>361</v>
      </c>
      <c r="E46" s="617">
        <v>92</v>
      </c>
      <c r="F46" s="621" t="s">
        <v>1915</v>
      </c>
    </row>
    <row r="47" spans="2:6" ht="30">
      <c r="B47" s="743" t="s">
        <v>1478</v>
      </c>
      <c r="C47" s="743"/>
      <c r="D47" s="1006" t="s">
        <v>422</v>
      </c>
      <c r="E47" s="617">
        <v>211</v>
      </c>
      <c r="F47" s="620" t="s">
        <v>1394</v>
      </c>
    </row>
    <row r="48" spans="2:6">
      <c r="B48" s="621" t="s">
        <v>51</v>
      </c>
      <c r="C48" s="621"/>
      <c r="D48" s="621" t="s">
        <v>52</v>
      </c>
      <c r="E48" s="617">
        <v>110</v>
      </c>
      <c r="F48" s="621" t="s">
        <v>28</v>
      </c>
    </row>
    <row r="49" spans="2:6">
      <c r="B49" s="621" t="s">
        <v>1479</v>
      </c>
      <c r="C49" s="621"/>
      <c r="D49" s="620" t="s">
        <v>71</v>
      </c>
      <c r="E49" s="617">
        <v>15</v>
      </c>
      <c r="F49" s="621" t="s">
        <v>28</v>
      </c>
    </row>
    <row r="50" spans="2:6">
      <c r="B50" s="621" t="s">
        <v>53</v>
      </c>
      <c r="C50" s="621"/>
      <c r="D50" s="621" t="s">
        <v>54</v>
      </c>
      <c r="E50" s="617">
        <v>130</v>
      </c>
      <c r="F50" s="621" t="s">
        <v>28</v>
      </c>
    </row>
    <row r="51" spans="2:6">
      <c r="B51" s="752" t="s">
        <v>1973</v>
      </c>
      <c r="C51" s="751"/>
      <c r="D51" s="1006" t="s">
        <v>2444</v>
      </c>
      <c r="E51" s="617">
        <v>281</v>
      </c>
      <c r="F51" s="617" t="s">
        <v>29</v>
      </c>
    </row>
    <row r="52" spans="2:6" ht="30">
      <c r="B52" s="621" t="s">
        <v>1629</v>
      </c>
      <c r="C52" s="621" t="s">
        <v>1628</v>
      </c>
      <c r="D52" s="1006" t="s">
        <v>410</v>
      </c>
      <c r="E52" s="617">
        <v>163</v>
      </c>
      <c r="F52" s="620" t="s">
        <v>1394</v>
      </c>
    </row>
    <row r="53" spans="2:6">
      <c r="B53" s="621" t="s">
        <v>1480</v>
      </c>
      <c r="C53" s="621"/>
      <c r="D53" s="620" t="s">
        <v>87</v>
      </c>
      <c r="E53" s="617">
        <v>20</v>
      </c>
      <c r="F53" s="621" t="s">
        <v>28</v>
      </c>
    </row>
    <row r="54" spans="2:6">
      <c r="B54" s="621" t="s">
        <v>1482</v>
      </c>
      <c r="C54" s="621"/>
      <c r="D54" s="620" t="s">
        <v>192</v>
      </c>
      <c r="E54" s="617">
        <v>84</v>
      </c>
      <c r="F54" s="621" t="s">
        <v>189</v>
      </c>
    </row>
    <row r="55" spans="2:6">
      <c r="B55" s="621" t="s">
        <v>1483</v>
      </c>
      <c r="C55" s="621"/>
      <c r="D55" s="620" t="s">
        <v>72</v>
      </c>
      <c r="E55" s="617">
        <v>16</v>
      </c>
      <c r="F55" s="621" t="s">
        <v>28</v>
      </c>
    </row>
    <row r="56" spans="2:6">
      <c r="B56" s="752" t="s">
        <v>1974</v>
      </c>
      <c r="C56" s="755"/>
      <c r="D56" s="1006" t="s">
        <v>1975</v>
      </c>
      <c r="E56" s="617">
        <v>282</v>
      </c>
      <c r="F56" s="622" t="s">
        <v>1394</v>
      </c>
    </row>
    <row r="57" spans="2:6">
      <c r="B57" s="621" t="s">
        <v>1484</v>
      </c>
      <c r="C57" s="621"/>
      <c r="D57" s="620" t="s">
        <v>73</v>
      </c>
      <c r="E57" s="617">
        <v>17</v>
      </c>
      <c r="F57" s="621" t="s">
        <v>28</v>
      </c>
    </row>
    <row r="58" spans="2:6">
      <c r="B58" s="752" t="s">
        <v>1891</v>
      </c>
      <c r="C58" s="605"/>
      <c r="D58" s="1004" t="s">
        <v>1892</v>
      </c>
      <c r="E58" s="617">
        <v>283</v>
      </c>
      <c r="F58" s="622" t="s">
        <v>1394</v>
      </c>
    </row>
    <row r="59" spans="2:6">
      <c r="B59" s="620" t="s">
        <v>1485</v>
      </c>
      <c r="C59" s="640"/>
      <c r="D59" s="1006" t="s">
        <v>1436</v>
      </c>
      <c r="E59" s="622">
        <v>245</v>
      </c>
      <c r="F59" s="621" t="s">
        <v>1394</v>
      </c>
    </row>
    <row r="60" spans="2:6">
      <c r="B60" s="621" t="s">
        <v>1663</v>
      </c>
      <c r="C60" s="621" t="s">
        <v>1662</v>
      </c>
      <c r="D60" s="620" t="s">
        <v>337</v>
      </c>
      <c r="E60" s="617">
        <v>205</v>
      </c>
      <c r="F60" s="620" t="s">
        <v>28</v>
      </c>
    </row>
    <row r="61" spans="2:6" s="226" customFormat="1">
      <c r="B61" s="620" t="s">
        <v>1444</v>
      </c>
      <c r="C61" s="640"/>
      <c r="D61" s="1006" t="s">
        <v>1435</v>
      </c>
      <c r="E61" s="622">
        <v>244</v>
      </c>
      <c r="F61" s="621" t="s">
        <v>1394</v>
      </c>
    </row>
    <row r="62" spans="2:6">
      <c r="B62" s="621" t="s">
        <v>1533</v>
      </c>
      <c r="C62" s="621"/>
      <c r="D62" s="620" t="s">
        <v>185</v>
      </c>
      <c r="E62" s="617">
        <v>50</v>
      </c>
      <c r="F62" s="621" t="s">
        <v>40</v>
      </c>
    </row>
    <row r="63" spans="2:6">
      <c r="B63" s="620" t="s">
        <v>1534</v>
      </c>
      <c r="C63" s="640"/>
      <c r="D63" s="1006" t="s">
        <v>1441</v>
      </c>
      <c r="E63" s="622">
        <v>250</v>
      </c>
      <c r="F63" s="621" t="s">
        <v>1394</v>
      </c>
    </row>
    <row r="64" spans="2:6" ht="30">
      <c r="B64" s="621" t="s">
        <v>1698</v>
      </c>
      <c r="C64" s="621" t="s">
        <v>1697</v>
      </c>
      <c r="D64" s="621" t="s">
        <v>183</v>
      </c>
      <c r="E64" s="617">
        <v>195</v>
      </c>
      <c r="F64" s="743" t="s">
        <v>176</v>
      </c>
    </row>
    <row r="65" spans="2:6" ht="45">
      <c r="B65" s="621" t="s">
        <v>1723</v>
      </c>
      <c r="C65" s="621" t="s">
        <v>460</v>
      </c>
      <c r="D65" s="1006" t="s">
        <v>461</v>
      </c>
      <c r="E65" s="622" t="s">
        <v>459</v>
      </c>
      <c r="F65" s="621" t="s">
        <v>1394</v>
      </c>
    </row>
    <row r="66" spans="2:6" ht="30">
      <c r="B66" s="621" t="s">
        <v>1737</v>
      </c>
      <c r="C66" s="621" t="s">
        <v>134</v>
      </c>
      <c r="D66" s="620" t="s">
        <v>135</v>
      </c>
      <c r="E66" s="617" t="s">
        <v>336</v>
      </c>
      <c r="F66" s="621" t="s">
        <v>34</v>
      </c>
    </row>
    <row r="67" spans="2:6" ht="30">
      <c r="B67" s="621" t="s">
        <v>1735</v>
      </c>
      <c r="C67" s="621" t="s">
        <v>130</v>
      </c>
      <c r="D67" s="620" t="s">
        <v>131</v>
      </c>
      <c r="E67" s="617" t="s">
        <v>334</v>
      </c>
      <c r="F67" s="621" t="s">
        <v>34</v>
      </c>
    </row>
    <row r="68" spans="2:6" ht="30">
      <c r="B68" s="621" t="s">
        <v>1736</v>
      </c>
      <c r="C68" s="621" t="s">
        <v>132</v>
      </c>
      <c r="D68" s="620" t="s">
        <v>133</v>
      </c>
      <c r="E68" s="617" t="s">
        <v>335</v>
      </c>
      <c r="F68" s="621" t="s">
        <v>34</v>
      </c>
    </row>
    <row r="69" spans="2:6">
      <c r="B69" s="621" t="s">
        <v>1739</v>
      </c>
      <c r="C69" s="621" t="s">
        <v>124</v>
      </c>
      <c r="D69" s="620" t="s">
        <v>125</v>
      </c>
      <c r="E69" s="617" t="s">
        <v>331</v>
      </c>
      <c r="F69" s="621" t="s">
        <v>34</v>
      </c>
    </row>
    <row r="70" spans="2:6" ht="30">
      <c r="B70" s="317" t="s">
        <v>1553</v>
      </c>
      <c r="C70" s="621" t="s">
        <v>143</v>
      </c>
      <c r="D70" s="621" t="s">
        <v>144</v>
      </c>
      <c r="E70" s="617">
        <v>189</v>
      </c>
      <c r="F70" s="621" t="s">
        <v>36</v>
      </c>
    </row>
    <row r="71" spans="2:6">
      <c r="B71" s="621" t="s">
        <v>1734</v>
      </c>
      <c r="C71" s="621" t="s">
        <v>128</v>
      </c>
      <c r="D71" s="620" t="s">
        <v>129</v>
      </c>
      <c r="E71" s="617" t="s">
        <v>333</v>
      </c>
      <c r="F71" s="621" t="s">
        <v>34</v>
      </c>
    </row>
    <row r="72" spans="2:6">
      <c r="B72" s="621" t="s">
        <v>1487</v>
      </c>
      <c r="C72" s="621"/>
      <c r="D72" s="620" t="s">
        <v>107</v>
      </c>
      <c r="E72" s="617">
        <v>45</v>
      </c>
      <c r="F72" s="621" t="s">
        <v>32</v>
      </c>
    </row>
    <row r="73" spans="2:6">
      <c r="B73" s="621" t="s">
        <v>1488</v>
      </c>
      <c r="C73" s="621"/>
      <c r="D73" s="620" t="s">
        <v>108</v>
      </c>
      <c r="E73" s="617">
        <v>46</v>
      </c>
      <c r="F73" s="621" t="s">
        <v>32</v>
      </c>
    </row>
    <row r="74" spans="2:6">
      <c r="B74" s="621" t="s">
        <v>1489</v>
      </c>
      <c r="C74" s="621"/>
      <c r="D74" s="620" t="s">
        <v>341</v>
      </c>
      <c r="E74" s="617">
        <v>47</v>
      </c>
      <c r="F74" s="621" t="s">
        <v>32</v>
      </c>
    </row>
    <row r="75" spans="2:6">
      <c r="B75" s="621" t="s">
        <v>1490</v>
      </c>
      <c r="C75" s="621"/>
      <c r="D75" s="620" t="s">
        <v>102</v>
      </c>
      <c r="E75" s="617">
        <v>40</v>
      </c>
      <c r="F75" s="621" t="s">
        <v>32</v>
      </c>
    </row>
    <row r="76" spans="2:6">
      <c r="B76" s="621" t="s">
        <v>1491</v>
      </c>
      <c r="C76" s="621"/>
      <c r="D76" s="620" t="s">
        <v>103</v>
      </c>
      <c r="E76" s="617">
        <v>41</v>
      </c>
      <c r="F76" s="621" t="s">
        <v>32</v>
      </c>
    </row>
    <row r="77" spans="2:6" ht="45">
      <c r="B77" s="621" t="s">
        <v>1536</v>
      </c>
      <c r="C77" s="621" t="s">
        <v>1492</v>
      </c>
      <c r="D77" s="621" t="s">
        <v>136</v>
      </c>
      <c r="E77" s="617">
        <v>122</v>
      </c>
      <c r="F77" s="621" t="s">
        <v>137</v>
      </c>
    </row>
    <row r="78" spans="2:6">
      <c r="B78" s="621" t="s">
        <v>1537</v>
      </c>
      <c r="C78" s="621" t="s">
        <v>1493</v>
      </c>
      <c r="D78" s="620" t="s">
        <v>342</v>
      </c>
      <c r="E78" s="617">
        <v>56</v>
      </c>
      <c r="F78" s="743" t="s">
        <v>31</v>
      </c>
    </row>
    <row r="79" spans="2:6">
      <c r="B79" s="621" t="s">
        <v>1738</v>
      </c>
      <c r="C79" s="621" t="s">
        <v>121</v>
      </c>
      <c r="D79" s="620" t="s">
        <v>122</v>
      </c>
      <c r="E79" s="617" t="s">
        <v>330</v>
      </c>
      <c r="F79" s="621" t="s">
        <v>34</v>
      </c>
    </row>
    <row r="80" spans="2:6">
      <c r="B80" s="621" t="s">
        <v>1538</v>
      </c>
      <c r="C80" s="621"/>
      <c r="D80" s="1006" t="s">
        <v>380</v>
      </c>
      <c r="E80" s="617">
        <v>120</v>
      </c>
      <c r="F80" s="621" t="s">
        <v>1394</v>
      </c>
    </row>
    <row r="81" spans="2:6">
      <c r="B81" s="621" t="s">
        <v>1539</v>
      </c>
      <c r="C81" s="621"/>
      <c r="D81" s="1006" t="s">
        <v>379</v>
      </c>
      <c r="E81" s="617">
        <v>119</v>
      </c>
      <c r="F81" s="621" t="s">
        <v>1394</v>
      </c>
    </row>
    <row r="82" spans="2:6">
      <c r="B82" s="621" t="s">
        <v>1494</v>
      </c>
      <c r="C82" s="621"/>
      <c r="D82" s="1006" t="s">
        <v>376</v>
      </c>
      <c r="E82" s="617">
        <v>115</v>
      </c>
      <c r="F82" s="621" t="s">
        <v>1394</v>
      </c>
    </row>
    <row r="83" spans="2:6">
      <c r="B83" s="621" t="s">
        <v>1495</v>
      </c>
      <c r="C83" s="621"/>
      <c r="D83" s="620" t="s">
        <v>104</v>
      </c>
      <c r="E83" s="617">
        <v>42</v>
      </c>
      <c r="F83" s="621" t="s">
        <v>32</v>
      </c>
    </row>
    <row r="84" spans="2:6">
      <c r="B84" s="621" t="s">
        <v>1496</v>
      </c>
      <c r="C84" s="621"/>
      <c r="D84" s="620" t="s">
        <v>105</v>
      </c>
      <c r="E84" s="617">
        <v>43</v>
      </c>
      <c r="F84" s="621" t="s">
        <v>32</v>
      </c>
    </row>
    <row r="85" spans="2:6">
      <c r="B85" s="621" t="s">
        <v>1498</v>
      </c>
      <c r="C85" s="621" t="s">
        <v>1497</v>
      </c>
      <c r="D85" s="620" t="s">
        <v>190</v>
      </c>
      <c r="E85" s="617">
        <v>81</v>
      </c>
      <c r="F85" s="621" t="s">
        <v>189</v>
      </c>
    </row>
    <row r="86" spans="2:6" ht="45">
      <c r="B86" s="621" t="s">
        <v>180</v>
      </c>
      <c r="C86" s="599" t="s">
        <v>1540</v>
      </c>
      <c r="D86" s="621" t="s">
        <v>181</v>
      </c>
      <c r="E86" s="617">
        <v>192</v>
      </c>
      <c r="F86" s="743" t="s">
        <v>176</v>
      </c>
    </row>
    <row r="87" spans="2:6">
      <c r="B87" s="621" t="s">
        <v>1499</v>
      </c>
      <c r="C87" s="621"/>
      <c r="D87" s="620" t="s">
        <v>98</v>
      </c>
      <c r="E87" s="617">
        <v>36</v>
      </c>
      <c r="F87" s="621" t="s">
        <v>32</v>
      </c>
    </row>
    <row r="88" spans="2:6">
      <c r="B88" s="621" t="s">
        <v>1501</v>
      </c>
      <c r="C88" s="621"/>
      <c r="D88" s="621" t="s">
        <v>193</v>
      </c>
      <c r="E88" s="617">
        <v>198</v>
      </c>
      <c r="F88" s="621" t="s">
        <v>189</v>
      </c>
    </row>
    <row r="89" spans="2:6">
      <c r="B89" s="625" t="s">
        <v>1502</v>
      </c>
      <c r="C89" s="633"/>
      <c r="D89" s="1007" t="s">
        <v>1424</v>
      </c>
      <c r="E89" s="624">
        <v>243</v>
      </c>
      <c r="F89" s="621" t="s">
        <v>1394</v>
      </c>
    </row>
    <row r="90" spans="2:6">
      <c r="B90" s="621" t="s">
        <v>1543</v>
      </c>
      <c r="C90" s="621" t="s">
        <v>1500</v>
      </c>
      <c r="D90" s="620" t="s">
        <v>91</v>
      </c>
      <c r="E90" s="617">
        <v>29</v>
      </c>
      <c r="F90" s="621" t="s">
        <v>31</v>
      </c>
    </row>
    <row r="91" spans="2:6" s="227" customFormat="1" ht="38.25" customHeight="1">
      <c r="B91" s="621" t="s">
        <v>1503</v>
      </c>
      <c r="C91" s="621"/>
      <c r="D91" s="1006" t="s">
        <v>385</v>
      </c>
      <c r="E91" s="617">
        <v>125</v>
      </c>
      <c r="F91" s="621" t="s">
        <v>32</v>
      </c>
    </row>
    <row r="92" spans="2:6">
      <c r="B92" s="621" t="s">
        <v>1544</v>
      </c>
      <c r="C92" s="621" t="s">
        <v>1504</v>
      </c>
      <c r="D92" s="620" t="s">
        <v>92</v>
      </c>
      <c r="E92" s="617">
        <v>30</v>
      </c>
      <c r="F92" s="621" t="s">
        <v>31</v>
      </c>
    </row>
    <row r="93" spans="2:6" s="227" customFormat="1" ht="45">
      <c r="B93" s="621" t="s">
        <v>1769</v>
      </c>
      <c r="C93" s="621" t="s">
        <v>1768</v>
      </c>
      <c r="D93" s="620" t="s">
        <v>1429</v>
      </c>
      <c r="E93" s="622" t="s">
        <v>1430</v>
      </c>
      <c r="F93" s="621" t="s">
        <v>1394</v>
      </c>
    </row>
    <row r="94" spans="2:6">
      <c r="B94" s="621" t="s">
        <v>1161</v>
      </c>
      <c r="C94" s="621"/>
      <c r="D94" s="621" t="s">
        <v>154</v>
      </c>
      <c r="E94" s="617">
        <v>165</v>
      </c>
      <c r="F94" s="620" t="s">
        <v>38</v>
      </c>
    </row>
    <row r="95" spans="2:6">
      <c r="B95" s="621" t="s">
        <v>1505</v>
      </c>
      <c r="C95" s="621"/>
      <c r="D95" s="620" t="s">
        <v>99</v>
      </c>
      <c r="E95" s="617">
        <v>37</v>
      </c>
      <c r="F95" s="621" t="s">
        <v>32</v>
      </c>
    </row>
    <row r="96" spans="2:6">
      <c r="B96" s="621" t="s">
        <v>1507</v>
      </c>
      <c r="C96" s="621"/>
      <c r="D96" s="621" t="s">
        <v>194</v>
      </c>
      <c r="E96" s="617">
        <v>199</v>
      </c>
      <c r="F96" s="621" t="s">
        <v>189</v>
      </c>
    </row>
    <row r="97" spans="2:6">
      <c r="B97" s="752" t="s">
        <v>1963</v>
      </c>
      <c r="C97" s="751"/>
      <c r="D97" s="1006" t="s">
        <v>1939</v>
      </c>
      <c r="E97" s="617">
        <v>272</v>
      </c>
      <c r="F97" s="622" t="s">
        <v>1394</v>
      </c>
    </row>
    <row r="98" spans="2:6">
      <c r="B98" s="621" t="s">
        <v>1545</v>
      </c>
      <c r="C98" s="621" t="s">
        <v>1506</v>
      </c>
      <c r="D98" s="620" t="s">
        <v>93</v>
      </c>
      <c r="E98" s="617">
        <v>31</v>
      </c>
      <c r="F98" s="621" t="s">
        <v>31</v>
      </c>
    </row>
    <row r="99" spans="2:6" ht="45">
      <c r="B99" s="621" t="s">
        <v>1709</v>
      </c>
      <c r="C99" s="621" t="s">
        <v>1708</v>
      </c>
      <c r="D99" s="621" t="s">
        <v>164</v>
      </c>
      <c r="E99" s="617">
        <v>176</v>
      </c>
      <c r="F99" s="620" t="s">
        <v>38</v>
      </c>
    </row>
    <row r="100" spans="2:6" ht="45">
      <c r="B100" s="621" t="s">
        <v>1703</v>
      </c>
      <c r="C100" s="621" t="s">
        <v>1702</v>
      </c>
      <c r="D100" s="621" t="s">
        <v>161</v>
      </c>
      <c r="E100" s="617">
        <v>173</v>
      </c>
      <c r="F100" s="620" t="s">
        <v>38</v>
      </c>
    </row>
    <row r="101" spans="2:6" ht="45">
      <c r="B101" s="621" t="s">
        <v>1564</v>
      </c>
      <c r="C101" s="621" t="s">
        <v>1561</v>
      </c>
      <c r="D101" s="1006" t="s">
        <v>426</v>
      </c>
      <c r="E101" s="617">
        <v>215</v>
      </c>
      <c r="F101" s="620" t="s">
        <v>1394</v>
      </c>
    </row>
    <row r="102" spans="2:6">
      <c r="B102" s="621" t="s">
        <v>1510</v>
      </c>
      <c r="C102" s="621"/>
      <c r="D102" s="620" t="s">
        <v>95</v>
      </c>
      <c r="E102" s="617">
        <v>33</v>
      </c>
      <c r="F102" s="621" t="s">
        <v>32</v>
      </c>
    </row>
    <row r="103" spans="2:6">
      <c r="B103" s="621" t="s">
        <v>1511</v>
      </c>
      <c r="C103" s="621"/>
      <c r="D103" s="620" t="s">
        <v>58</v>
      </c>
      <c r="E103" s="617">
        <v>63</v>
      </c>
      <c r="F103" s="621" t="s">
        <v>28</v>
      </c>
    </row>
    <row r="104" spans="2:6">
      <c r="B104" s="752" t="s">
        <v>1951</v>
      </c>
      <c r="C104" s="751"/>
      <c r="D104" s="1006" t="s">
        <v>1925</v>
      </c>
      <c r="E104" s="617">
        <v>261</v>
      </c>
      <c r="F104" s="622" t="s">
        <v>1394</v>
      </c>
    </row>
    <row r="105" spans="2:6" s="210" customFormat="1" ht="75">
      <c r="B105" s="752" t="s">
        <v>1961</v>
      </c>
      <c r="C105" s="753" t="s">
        <v>1962</v>
      </c>
      <c r="D105" s="1006" t="s">
        <v>1936</v>
      </c>
      <c r="E105" s="617">
        <v>271</v>
      </c>
      <c r="F105" s="622" t="s">
        <v>1394</v>
      </c>
    </row>
    <row r="106" spans="2:6">
      <c r="B106" s="621" t="s">
        <v>1512</v>
      </c>
      <c r="C106" s="621"/>
      <c r="D106" s="1006" t="s">
        <v>395</v>
      </c>
      <c r="E106" s="617">
        <v>139</v>
      </c>
      <c r="F106" s="621" t="s">
        <v>1394</v>
      </c>
    </row>
    <row r="107" spans="2:6" s="226" customFormat="1">
      <c r="B107" s="752" t="s">
        <v>1926</v>
      </c>
      <c r="C107" s="751"/>
      <c r="D107" s="1006" t="s">
        <v>1927</v>
      </c>
      <c r="E107" s="617">
        <v>262</v>
      </c>
      <c r="F107" s="622" t="s">
        <v>1394</v>
      </c>
    </row>
    <row r="108" spans="2:6">
      <c r="B108" s="621" t="s">
        <v>1547</v>
      </c>
      <c r="C108" s="621"/>
      <c r="D108" s="620" t="s">
        <v>187</v>
      </c>
      <c r="E108" s="617">
        <v>51</v>
      </c>
      <c r="F108" s="621" t="s">
        <v>40</v>
      </c>
    </row>
    <row r="109" spans="2:6">
      <c r="B109" s="1011" t="s">
        <v>1952</v>
      </c>
      <c r="C109" s="732" t="s">
        <v>1953</v>
      </c>
      <c r="D109" s="1006" t="s">
        <v>1930</v>
      </c>
      <c r="E109" s="617">
        <v>264</v>
      </c>
      <c r="F109" s="622" t="s">
        <v>1394</v>
      </c>
    </row>
    <row r="110" spans="2:6">
      <c r="B110" s="621" t="s">
        <v>1776</v>
      </c>
      <c r="C110" s="621" t="s">
        <v>1775</v>
      </c>
      <c r="D110" s="621" t="s">
        <v>84</v>
      </c>
      <c r="E110" s="617">
        <v>116</v>
      </c>
      <c r="F110" s="621" t="s">
        <v>29</v>
      </c>
    </row>
    <row r="111" spans="2:6">
      <c r="B111" s="621" t="s">
        <v>1725</v>
      </c>
      <c r="C111" s="621" t="s">
        <v>1724</v>
      </c>
      <c r="D111" s="1006" t="s">
        <v>396</v>
      </c>
      <c r="E111" s="617">
        <v>140</v>
      </c>
      <c r="F111" s="621" t="s">
        <v>1394</v>
      </c>
    </row>
    <row r="112" spans="2:6">
      <c r="B112" s="621" t="s">
        <v>1578</v>
      </c>
      <c r="C112" s="621" t="s">
        <v>1577</v>
      </c>
      <c r="D112" s="1006" t="s">
        <v>378</v>
      </c>
      <c r="E112" s="617">
        <v>118</v>
      </c>
      <c r="F112" s="621" t="s">
        <v>1394</v>
      </c>
    </row>
    <row r="113" spans="2:6" ht="30">
      <c r="B113" s="621" t="s">
        <v>1690</v>
      </c>
      <c r="C113" s="621" t="s">
        <v>1689</v>
      </c>
      <c r="D113" s="621" t="s">
        <v>158</v>
      </c>
      <c r="E113" s="617">
        <v>170</v>
      </c>
      <c r="F113" s="620" t="s">
        <v>38</v>
      </c>
    </row>
    <row r="114" spans="2:6" ht="30">
      <c r="B114" s="621" t="s">
        <v>1550</v>
      </c>
      <c r="C114" s="621"/>
      <c r="D114" s="1006" t="s">
        <v>377</v>
      </c>
      <c r="E114" s="617">
        <v>117</v>
      </c>
      <c r="F114" s="621" t="s">
        <v>1394</v>
      </c>
    </row>
    <row r="115" spans="2:6">
      <c r="B115" s="621" t="s">
        <v>1551</v>
      </c>
      <c r="C115" s="621"/>
      <c r="D115" s="1006" t="s">
        <v>381</v>
      </c>
      <c r="E115" s="617">
        <v>121</v>
      </c>
      <c r="F115" s="621" t="s">
        <v>1394</v>
      </c>
    </row>
    <row r="116" spans="2:6">
      <c r="B116" s="621" t="s">
        <v>1513</v>
      </c>
      <c r="C116" s="621"/>
      <c r="D116" s="620" t="s">
        <v>106</v>
      </c>
      <c r="E116" s="617">
        <v>44</v>
      </c>
      <c r="F116" s="621" t="s">
        <v>32</v>
      </c>
    </row>
    <row r="117" spans="2:6">
      <c r="B117" s="621" t="s">
        <v>1514</v>
      </c>
      <c r="C117" s="621"/>
      <c r="D117" s="620" t="s">
        <v>100</v>
      </c>
      <c r="E117" s="617">
        <v>38</v>
      </c>
      <c r="F117" s="621" t="s">
        <v>32</v>
      </c>
    </row>
    <row r="118" spans="2:6">
      <c r="B118" s="621" t="s">
        <v>1515</v>
      </c>
      <c r="C118" s="621"/>
      <c r="D118" s="620" t="s">
        <v>94</v>
      </c>
      <c r="E118" s="617">
        <v>32</v>
      </c>
      <c r="F118" s="621" t="s">
        <v>31</v>
      </c>
    </row>
    <row r="119" spans="2:6">
      <c r="B119" s="621" t="s">
        <v>1516</v>
      </c>
      <c r="C119" s="621"/>
      <c r="D119" s="620" t="s">
        <v>101</v>
      </c>
      <c r="E119" s="617">
        <v>39</v>
      </c>
      <c r="F119" s="621" t="s">
        <v>32</v>
      </c>
    </row>
    <row r="120" spans="2:6">
      <c r="B120" s="621" t="s">
        <v>1552</v>
      </c>
      <c r="C120" s="621" t="s">
        <v>1517</v>
      </c>
      <c r="D120" s="1006" t="s">
        <v>390</v>
      </c>
      <c r="E120" s="617">
        <v>132</v>
      </c>
      <c r="F120" s="621" t="s">
        <v>31</v>
      </c>
    </row>
    <row r="121" spans="2:6" ht="30">
      <c r="B121" s="317" t="s">
        <v>1972</v>
      </c>
      <c r="C121" s="752" t="s">
        <v>1950</v>
      </c>
      <c r="D121" s="1006" t="s">
        <v>1949</v>
      </c>
      <c r="E121" s="617">
        <v>280</v>
      </c>
      <c r="F121" s="622" t="s">
        <v>1394</v>
      </c>
    </row>
    <row r="122" spans="2:6">
      <c r="B122" s="621" t="s">
        <v>1518</v>
      </c>
      <c r="C122" s="621"/>
      <c r="D122" s="620" t="s">
        <v>96</v>
      </c>
      <c r="E122" s="617">
        <v>34</v>
      </c>
      <c r="F122" s="621" t="s">
        <v>32</v>
      </c>
    </row>
    <row r="123" spans="2:6" ht="45">
      <c r="B123" s="621" t="s">
        <v>1684</v>
      </c>
      <c r="C123" s="621" t="s">
        <v>1683</v>
      </c>
      <c r="D123" s="621" t="s">
        <v>157</v>
      </c>
      <c r="E123" s="617">
        <v>169</v>
      </c>
      <c r="F123" s="620" t="s">
        <v>38</v>
      </c>
    </row>
    <row r="124" spans="2:6">
      <c r="B124" s="621" t="s">
        <v>1519</v>
      </c>
      <c r="C124" s="621"/>
      <c r="D124" s="1006" t="s">
        <v>393</v>
      </c>
      <c r="E124" s="617">
        <v>137</v>
      </c>
      <c r="F124" s="621" t="s">
        <v>31</v>
      </c>
    </row>
    <row r="125" spans="2:6">
      <c r="B125" s="621" t="s">
        <v>1715</v>
      </c>
      <c r="C125" s="621" t="s">
        <v>1714</v>
      </c>
      <c r="D125" s="1006" t="s">
        <v>394</v>
      </c>
      <c r="E125" s="617">
        <v>138</v>
      </c>
      <c r="F125" s="621" t="s">
        <v>1394</v>
      </c>
    </row>
    <row r="126" spans="2:6">
      <c r="B126" s="1011" t="s">
        <v>1898</v>
      </c>
      <c r="C126" s="752" t="s">
        <v>1921</v>
      </c>
      <c r="D126" s="1007" t="s">
        <v>1899</v>
      </c>
      <c r="E126" s="617">
        <v>258</v>
      </c>
      <c r="F126" s="617" t="s">
        <v>1900</v>
      </c>
    </row>
    <row r="127" spans="2:6" ht="30">
      <c r="B127" s="621" t="s">
        <v>1674</v>
      </c>
      <c r="C127" s="621" t="s">
        <v>1673</v>
      </c>
      <c r="D127" s="621" t="s">
        <v>179</v>
      </c>
      <c r="E127" s="617">
        <v>168</v>
      </c>
      <c r="F127" s="621" t="s">
        <v>176</v>
      </c>
    </row>
    <row r="128" spans="2:6" ht="30">
      <c r="B128" s="621" t="s">
        <v>1701</v>
      </c>
      <c r="C128" s="621" t="s">
        <v>1700</v>
      </c>
      <c r="D128" s="621" t="s">
        <v>160</v>
      </c>
      <c r="E128" s="617">
        <v>172</v>
      </c>
      <c r="F128" s="620" t="s">
        <v>38</v>
      </c>
    </row>
    <row r="129" spans="2:6">
      <c r="B129" s="621" t="s">
        <v>1522</v>
      </c>
      <c r="C129" s="621"/>
      <c r="D129" s="620" t="s">
        <v>97</v>
      </c>
      <c r="E129" s="617">
        <v>35</v>
      </c>
      <c r="F129" s="621" t="s">
        <v>32</v>
      </c>
    </row>
    <row r="130" spans="2:6">
      <c r="B130" s="621" t="s">
        <v>1523</v>
      </c>
      <c r="C130" s="621"/>
      <c r="D130" s="1006" t="s">
        <v>374</v>
      </c>
      <c r="E130" s="617">
        <v>109</v>
      </c>
      <c r="F130" s="621" t="s">
        <v>28</v>
      </c>
    </row>
    <row r="131" spans="2:6" ht="30">
      <c r="B131" s="621" t="s">
        <v>1524</v>
      </c>
      <c r="C131" s="741" t="s">
        <v>1525</v>
      </c>
      <c r="D131" s="1006" t="s">
        <v>1442</v>
      </c>
      <c r="E131" s="622">
        <v>251</v>
      </c>
      <c r="F131" s="621" t="s">
        <v>1394</v>
      </c>
    </row>
    <row r="132" spans="2:6">
      <c r="B132" s="621" t="s">
        <v>1526</v>
      </c>
      <c r="C132" s="621"/>
      <c r="D132" s="1006" t="s">
        <v>391</v>
      </c>
      <c r="E132" s="617">
        <v>134</v>
      </c>
      <c r="F132" s="621" t="s">
        <v>31</v>
      </c>
    </row>
    <row r="133" spans="2:6">
      <c r="B133" s="620" t="s">
        <v>1447</v>
      </c>
      <c r="C133" s="640"/>
      <c r="D133" s="1006" t="s">
        <v>1443</v>
      </c>
      <c r="E133" s="622">
        <v>252</v>
      </c>
      <c r="F133" s="621" t="s">
        <v>1394</v>
      </c>
    </row>
    <row r="134" spans="2:6">
      <c r="B134" s="1007" t="s">
        <v>1954</v>
      </c>
      <c r="C134" s="751" t="s">
        <v>1931</v>
      </c>
      <c r="D134" s="1006" t="s">
        <v>1932</v>
      </c>
      <c r="E134" s="617">
        <v>265</v>
      </c>
      <c r="F134" s="622" t="s">
        <v>1394</v>
      </c>
    </row>
    <row r="135" spans="2:6">
      <c r="B135" s="621" t="s">
        <v>1750</v>
      </c>
      <c r="C135" s="621" t="s">
        <v>1749</v>
      </c>
      <c r="D135" s="1006" t="s">
        <v>398</v>
      </c>
      <c r="E135" s="617">
        <v>142</v>
      </c>
      <c r="F135" s="621" t="s">
        <v>1394</v>
      </c>
    </row>
    <row r="136" spans="2:6" ht="30">
      <c r="B136" s="621" t="s">
        <v>1657</v>
      </c>
      <c r="C136" s="621" t="s">
        <v>1655</v>
      </c>
      <c r="D136" s="1006" t="s">
        <v>428</v>
      </c>
      <c r="E136" s="617">
        <v>217</v>
      </c>
      <c r="F136" s="620" t="s">
        <v>1394</v>
      </c>
    </row>
    <row r="137" spans="2:6">
      <c r="B137" s="621" t="s">
        <v>1560</v>
      </c>
      <c r="C137" s="621"/>
      <c r="D137" s="620" t="s">
        <v>120</v>
      </c>
      <c r="E137" s="617">
        <v>67</v>
      </c>
      <c r="F137" s="621" t="s">
        <v>29</v>
      </c>
    </row>
    <row r="138" spans="2:6">
      <c r="B138" s="621" t="s">
        <v>1562</v>
      </c>
      <c r="C138" s="621"/>
      <c r="D138" s="620" t="s">
        <v>60</v>
      </c>
      <c r="E138" s="617">
        <v>79</v>
      </c>
      <c r="F138" s="621" t="s">
        <v>29</v>
      </c>
    </row>
    <row r="139" spans="2:6">
      <c r="B139" s="621" t="s">
        <v>1565</v>
      </c>
      <c r="C139" s="621"/>
      <c r="D139" s="620" t="s">
        <v>61</v>
      </c>
      <c r="E139" s="617">
        <v>85</v>
      </c>
      <c r="F139" s="621" t="s">
        <v>43</v>
      </c>
    </row>
    <row r="140" spans="2:6">
      <c r="B140" s="621" t="s">
        <v>172</v>
      </c>
      <c r="C140" s="621"/>
      <c r="D140" s="620" t="s">
        <v>173</v>
      </c>
      <c r="E140" s="617">
        <v>151</v>
      </c>
      <c r="F140" s="620" t="s">
        <v>38</v>
      </c>
    </row>
    <row r="141" spans="2:6">
      <c r="B141" s="621" t="s">
        <v>1579</v>
      </c>
      <c r="C141" s="621"/>
      <c r="D141" s="620" t="s">
        <v>198</v>
      </c>
      <c r="E141" s="617">
        <v>1</v>
      </c>
      <c r="F141" s="621" t="s">
        <v>41</v>
      </c>
    </row>
    <row r="142" spans="2:6">
      <c r="B142" s="657" t="s">
        <v>1959</v>
      </c>
      <c r="C142" s="751"/>
      <c r="D142" s="1006" t="s">
        <v>1934</v>
      </c>
      <c r="E142" s="617">
        <v>268</v>
      </c>
      <c r="F142" s="622" t="s">
        <v>1394</v>
      </c>
    </row>
    <row r="143" spans="2:6" ht="30">
      <c r="B143" s="657" t="s">
        <v>1960</v>
      </c>
      <c r="C143" s="751"/>
      <c r="D143" s="1006" t="s">
        <v>1935</v>
      </c>
      <c r="E143" s="617">
        <v>269</v>
      </c>
      <c r="F143" s="622" t="s">
        <v>1394</v>
      </c>
    </row>
    <row r="144" spans="2:6">
      <c r="B144" s="621" t="s">
        <v>1581</v>
      </c>
      <c r="C144" s="621" t="s">
        <v>1580</v>
      </c>
      <c r="D144" s="620" t="s">
        <v>215</v>
      </c>
      <c r="E144" s="617">
        <v>69</v>
      </c>
      <c r="F144" s="621" t="s">
        <v>45</v>
      </c>
    </row>
    <row r="145" spans="2:6">
      <c r="B145" s="621" t="s">
        <v>1617</v>
      </c>
      <c r="C145" s="621"/>
      <c r="D145" s="1006" t="s">
        <v>471</v>
      </c>
      <c r="E145" s="622" t="s">
        <v>472</v>
      </c>
      <c r="F145" s="621" t="s">
        <v>1394</v>
      </c>
    </row>
    <row r="146" spans="2:6">
      <c r="B146" s="621" t="s">
        <v>1582</v>
      </c>
      <c r="C146" s="621"/>
      <c r="D146" s="621" t="s">
        <v>200</v>
      </c>
      <c r="E146" s="617">
        <v>2</v>
      </c>
      <c r="F146" s="621" t="s">
        <v>41</v>
      </c>
    </row>
    <row r="147" spans="2:6">
      <c r="B147" s="621" t="s">
        <v>1584</v>
      </c>
      <c r="C147" s="621"/>
      <c r="D147" s="621" t="s">
        <v>149</v>
      </c>
      <c r="E147" s="617">
        <v>152</v>
      </c>
      <c r="F147" s="620" t="s">
        <v>38</v>
      </c>
    </row>
    <row r="148" spans="2:6">
      <c r="B148" s="621" t="s">
        <v>1630</v>
      </c>
      <c r="C148" s="621"/>
      <c r="D148" s="1006" t="s">
        <v>408</v>
      </c>
      <c r="E148" s="617">
        <v>161</v>
      </c>
      <c r="F148" s="620" t="s">
        <v>1394</v>
      </c>
    </row>
    <row r="149" spans="2:6">
      <c r="B149" s="621" t="s">
        <v>1587</v>
      </c>
      <c r="C149" s="621"/>
      <c r="D149" s="621" t="s">
        <v>202</v>
      </c>
      <c r="E149" s="617">
        <v>3</v>
      </c>
      <c r="F149" s="621" t="s">
        <v>41</v>
      </c>
    </row>
    <row r="150" spans="2:6">
      <c r="B150" s="621" t="s">
        <v>1588</v>
      </c>
      <c r="C150" s="621"/>
      <c r="D150" s="621" t="s">
        <v>177</v>
      </c>
      <c r="E150" s="617">
        <v>153</v>
      </c>
      <c r="F150" s="743" t="s">
        <v>176</v>
      </c>
    </row>
    <row r="151" spans="2:6">
      <c r="B151" s="621" t="s">
        <v>1605</v>
      </c>
      <c r="C151" s="621" t="s">
        <v>1606</v>
      </c>
      <c r="D151" s="620" t="s">
        <v>112</v>
      </c>
      <c r="E151" s="617">
        <v>102</v>
      </c>
      <c r="F151" s="621" t="s">
        <v>33</v>
      </c>
    </row>
    <row r="152" spans="2:6">
      <c r="B152" s="621" t="s">
        <v>1589</v>
      </c>
      <c r="C152" s="621"/>
      <c r="D152" s="621" t="s">
        <v>203</v>
      </c>
      <c r="E152" s="617">
        <v>4</v>
      </c>
      <c r="F152" s="621" t="s">
        <v>41</v>
      </c>
    </row>
    <row r="153" spans="2:6">
      <c r="B153" s="621" t="s">
        <v>1593</v>
      </c>
      <c r="C153" s="621"/>
      <c r="D153" s="1006" t="s">
        <v>347</v>
      </c>
      <c r="E153" s="617">
        <v>62</v>
      </c>
      <c r="F153" s="621" t="s">
        <v>1394</v>
      </c>
    </row>
    <row r="154" spans="2:6">
      <c r="B154" s="621" t="s">
        <v>1595</v>
      </c>
      <c r="C154" s="621"/>
      <c r="D154" s="620" t="s">
        <v>184</v>
      </c>
      <c r="E154" s="617">
        <v>57</v>
      </c>
      <c r="F154" s="743" t="s">
        <v>40</v>
      </c>
    </row>
    <row r="155" spans="2:6">
      <c r="B155" s="621" t="s">
        <v>1627</v>
      </c>
      <c r="C155" s="621" t="s">
        <v>110</v>
      </c>
      <c r="D155" s="620" t="s">
        <v>111</v>
      </c>
      <c r="E155" s="617">
        <v>55</v>
      </c>
      <c r="F155" s="743" t="s">
        <v>33</v>
      </c>
    </row>
    <row r="156" spans="2:6">
      <c r="B156" s="752" t="s">
        <v>1937</v>
      </c>
      <c r="C156" s="751"/>
      <c r="D156" s="1006" t="s">
        <v>1938</v>
      </c>
      <c r="E156" s="617">
        <v>270</v>
      </c>
      <c r="F156" s="622" t="s">
        <v>1394</v>
      </c>
    </row>
    <row r="157" spans="2:6">
      <c r="B157" s="621" t="s">
        <v>1596</v>
      </c>
      <c r="C157" s="621"/>
      <c r="D157" s="1006" t="s">
        <v>403</v>
      </c>
      <c r="E157" s="617">
        <v>148</v>
      </c>
      <c r="F157" s="621" t="s">
        <v>41</v>
      </c>
    </row>
    <row r="158" spans="2:6">
      <c r="B158" s="621" t="s">
        <v>1597</v>
      </c>
      <c r="C158" s="621"/>
      <c r="D158" s="621" t="s">
        <v>213</v>
      </c>
      <c r="E158" s="617">
        <v>60</v>
      </c>
      <c r="F158" s="621" t="s">
        <v>41</v>
      </c>
    </row>
    <row r="159" spans="2:6">
      <c r="B159" s="621" t="s">
        <v>1598</v>
      </c>
      <c r="C159" s="621"/>
      <c r="D159" s="621" t="s">
        <v>150</v>
      </c>
      <c r="E159" s="617">
        <v>154</v>
      </c>
      <c r="F159" s="620" t="s">
        <v>38</v>
      </c>
    </row>
    <row r="160" spans="2:6">
      <c r="B160" s="621" t="s">
        <v>1600</v>
      </c>
      <c r="C160" s="621"/>
      <c r="D160" s="620" t="s">
        <v>62</v>
      </c>
      <c r="E160" s="617">
        <v>64</v>
      </c>
      <c r="F160" s="621" t="s">
        <v>28</v>
      </c>
    </row>
    <row r="161" spans="2:12">
      <c r="B161" s="621" t="s">
        <v>1601</v>
      </c>
      <c r="C161" s="621"/>
      <c r="D161" s="620" t="s">
        <v>63</v>
      </c>
      <c r="E161" s="617">
        <v>58</v>
      </c>
      <c r="F161" s="621" t="s">
        <v>28</v>
      </c>
    </row>
    <row r="162" spans="2:12">
      <c r="B162" s="621" t="s">
        <v>1602</v>
      </c>
      <c r="C162" s="621"/>
      <c r="D162" s="620" t="s">
        <v>64</v>
      </c>
      <c r="E162" s="617">
        <v>53</v>
      </c>
      <c r="F162" s="621" t="s">
        <v>28</v>
      </c>
    </row>
    <row r="163" spans="2:12">
      <c r="B163" s="621" t="s">
        <v>1603</v>
      </c>
      <c r="C163" s="621"/>
      <c r="D163" s="621" t="s">
        <v>65</v>
      </c>
      <c r="E163" s="617">
        <v>201</v>
      </c>
      <c r="F163" s="621" t="s">
        <v>28</v>
      </c>
    </row>
    <row r="164" spans="2:12">
      <c r="B164" s="621" t="s">
        <v>1532</v>
      </c>
      <c r="C164" s="621" t="s">
        <v>55</v>
      </c>
      <c r="D164" s="620" t="s">
        <v>56</v>
      </c>
      <c r="E164" s="617">
        <v>91</v>
      </c>
      <c r="F164" s="621" t="s">
        <v>29</v>
      </c>
    </row>
    <row r="165" spans="2:12">
      <c r="B165" s="621" t="s">
        <v>1546</v>
      </c>
      <c r="C165" s="621" t="s">
        <v>1509</v>
      </c>
      <c r="D165" s="620" t="s">
        <v>57</v>
      </c>
      <c r="E165" s="617">
        <v>78</v>
      </c>
      <c r="F165" s="621" t="s">
        <v>29</v>
      </c>
    </row>
    <row r="166" spans="2:12">
      <c r="B166" s="621" t="s">
        <v>1604</v>
      </c>
      <c r="C166" s="621"/>
      <c r="D166" s="1006" t="s">
        <v>433</v>
      </c>
      <c r="E166" s="617">
        <v>222</v>
      </c>
      <c r="F166" s="620" t="s">
        <v>1394</v>
      </c>
    </row>
    <row r="167" spans="2:12">
      <c r="B167" s="621" t="s">
        <v>1717</v>
      </c>
      <c r="C167" s="621"/>
      <c r="D167" s="1006" t="s">
        <v>370</v>
      </c>
      <c r="E167" s="617">
        <v>101</v>
      </c>
      <c r="F167" s="621" t="s">
        <v>1394</v>
      </c>
    </row>
    <row r="168" spans="2:12">
      <c r="B168" s="621" t="s">
        <v>1609</v>
      </c>
      <c r="C168" s="621"/>
      <c r="D168" s="1006" t="s">
        <v>404</v>
      </c>
      <c r="E168" s="617">
        <v>149</v>
      </c>
      <c r="F168" s="621" t="s">
        <v>1394</v>
      </c>
    </row>
    <row r="169" spans="2:12">
      <c r="B169" s="621" t="s">
        <v>467</v>
      </c>
      <c r="C169" s="621"/>
      <c r="D169" s="620" t="s">
        <v>606</v>
      </c>
      <c r="E169" s="622" t="s">
        <v>468</v>
      </c>
      <c r="F169" s="621" t="s">
        <v>41</v>
      </c>
    </row>
    <row r="170" spans="2:12">
      <c r="B170" s="621" t="s">
        <v>1618</v>
      </c>
      <c r="C170" s="621"/>
      <c r="D170" s="1006" t="s">
        <v>469</v>
      </c>
      <c r="E170" s="622" t="s">
        <v>470</v>
      </c>
      <c r="F170" s="621" t="s">
        <v>1394</v>
      </c>
    </row>
    <row r="171" spans="2:12">
      <c r="B171" s="621" t="s">
        <v>383</v>
      </c>
      <c r="C171" s="621"/>
      <c r="D171" s="1006" t="s">
        <v>382</v>
      </c>
      <c r="E171" s="617">
        <v>123</v>
      </c>
      <c r="F171" s="621" t="s">
        <v>1394</v>
      </c>
    </row>
    <row r="172" spans="2:12">
      <c r="B172" s="621" t="s">
        <v>372</v>
      </c>
      <c r="C172" s="621"/>
      <c r="D172" s="1006" t="s">
        <v>371</v>
      </c>
      <c r="E172" s="617">
        <v>105</v>
      </c>
      <c r="F172" s="621" t="s">
        <v>40</v>
      </c>
    </row>
    <row r="173" spans="2:12" s="226" customFormat="1">
      <c r="B173" s="621" t="s">
        <v>1607</v>
      </c>
      <c r="C173" s="621"/>
      <c r="D173" s="1006" t="s">
        <v>406</v>
      </c>
      <c r="E173" s="617">
        <v>155</v>
      </c>
      <c r="F173" s="620" t="s">
        <v>1394</v>
      </c>
      <c r="J173"/>
      <c r="K173"/>
      <c r="L173"/>
    </row>
    <row r="174" spans="2:12">
      <c r="B174" s="621" t="s">
        <v>1608</v>
      </c>
      <c r="C174" s="621"/>
      <c r="D174" s="621" t="s">
        <v>151</v>
      </c>
      <c r="E174" s="617">
        <v>156</v>
      </c>
      <c r="F174" s="620" t="s">
        <v>38</v>
      </c>
    </row>
    <row r="175" spans="2:12">
      <c r="B175" s="621" t="s">
        <v>1659</v>
      </c>
      <c r="C175" s="621"/>
      <c r="D175" s="621" t="s">
        <v>76</v>
      </c>
      <c r="E175" s="617">
        <v>107</v>
      </c>
      <c r="F175" s="621" t="s">
        <v>45</v>
      </c>
    </row>
    <row r="176" spans="2:12">
      <c r="B176" s="743" t="s">
        <v>1720</v>
      </c>
      <c r="C176" s="743"/>
      <c r="D176" s="1006" t="s">
        <v>416</v>
      </c>
      <c r="E176" s="617">
        <v>202</v>
      </c>
      <c r="F176" s="621" t="s">
        <v>1394</v>
      </c>
    </row>
    <row r="177" spans="2:12">
      <c r="B177" s="621" t="s">
        <v>533</v>
      </c>
      <c r="C177" s="621"/>
      <c r="D177" s="621" t="s">
        <v>138</v>
      </c>
      <c r="E177" s="617">
        <v>128</v>
      </c>
      <c r="F177" s="621" t="s">
        <v>36</v>
      </c>
    </row>
    <row r="178" spans="2:12" s="226" customFormat="1">
      <c r="B178" s="621" t="s">
        <v>1610</v>
      </c>
      <c r="C178" s="621" t="s">
        <v>1611</v>
      </c>
      <c r="D178" s="621" t="s">
        <v>152</v>
      </c>
      <c r="E178" s="617">
        <v>157</v>
      </c>
      <c r="F178" s="620" t="s">
        <v>38</v>
      </c>
      <c r="J178"/>
      <c r="K178"/>
      <c r="L178"/>
    </row>
    <row r="179" spans="2:12">
      <c r="B179" s="621" t="s">
        <v>1612</v>
      </c>
      <c r="C179" s="621"/>
      <c r="D179" s="620" t="s">
        <v>66</v>
      </c>
      <c r="E179" s="617">
        <v>14</v>
      </c>
      <c r="F179" s="621" t="s">
        <v>28</v>
      </c>
    </row>
    <row r="180" spans="2:12">
      <c r="B180" s="621" t="s">
        <v>1557</v>
      </c>
      <c r="C180" s="621" t="s">
        <v>1521</v>
      </c>
      <c r="D180" s="1006" t="s">
        <v>386</v>
      </c>
      <c r="E180" s="617">
        <v>126</v>
      </c>
      <c r="F180" s="621" t="s">
        <v>32</v>
      </c>
    </row>
    <row r="181" spans="2:12">
      <c r="B181" s="621" t="s">
        <v>1613</v>
      </c>
      <c r="C181" s="621"/>
      <c r="D181" s="620" t="s">
        <v>67</v>
      </c>
      <c r="E181" s="617">
        <v>48</v>
      </c>
      <c r="F181" s="743" t="s">
        <v>28</v>
      </c>
    </row>
    <row r="182" spans="2:12">
      <c r="B182" s="621" t="s">
        <v>1614</v>
      </c>
      <c r="C182" s="621"/>
      <c r="D182" s="621" t="s">
        <v>68</v>
      </c>
      <c r="E182" s="617">
        <v>111</v>
      </c>
      <c r="F182" s="621" t="s">
        <v>28</v>
      </c>
    </row>
    <row r="183" spans="2:12">
      <c r="B183" s="621" t="s">
        <v>1615</v>
      </c>
      <c r="C183" s="621"/>
      <c r="D183" s="1006" t="s">
        <v>407</v>
      </c>
      <c r="E183" s="617">
        <v>158</v>
      </c>
      <c r="F183" s="620" t="s">
        <v>1394</v>
      </c>
    </row>
    <row r="184" spans="2:12">
      <c r="B184" s="621" t="s">
        <v>1616</v>
      </c>
      <c r="C184" s="621"/>
      <c r="D184" s="621" t="s">
        <v>171</v>
      </c>
      <c r="E184" s="617">
        <v>159</v>
      </c>
      <c r="F184" s="621" t="s">
        <v>38</v>
      </c>
    </row>
    <row r="185" spans="2:12">
      <c r="B185" s="621" t="s">
        <v>1554</v>
      </c>
      <c r="C185" s="621" t="s">
        <v>540</v>
      </c>
      <c r="D185" s="621" t="s">
        <v>145</v>
      </c>
      <c r="E185" s="617">
        <v>190</v>
      </c>
      <c r="F185" s="621" t="s">
        <v>36</v>
      </c>
    </row>
    <row r="186" spans="2:12">
      <c r="B186" s="621" t="s">
        <v>1620</v>
      </c>
      <c r="C186" s="621"/>
      <c r="D186" s="621" t="s">
        <v>204</v>
      </c>
      <c r="E186" s="617">
        <v>5</v>
      </c>
      <c r="F186" s="621" t="s">
        <v>41</v>
      </c>
    </row>
    <row r="187" spans="2:12">
      <c r="B187" s="621" t="s">
        <v>1766</v>
      </c>
      <c r="C187" s="621" t="s">
        <v>339</v>
      </c>
      <c r="D187" s="620" t="s">
        <v>340</v>
      </c>
      <c r="E187" s="617">
        <v>28</v>
      </c>
      <c r="F187" s="621" t="s">
        <v>31</v>
      </c>
    </row>
    <row r="188" spans="2:12">
      <c r="B188" s="621" t="s">
        <v>1624</v>
      </c>
      <c r="C188" s="621" t="s">
        <v>1986</v>
      </c>
      <c r="D188" s="620" t="s">
        <v>69</v>
      </c>
      <c r="E188" s="617">
        <v>49</v>
      </c>
      <c r="F188" s="743" t="s">
        <v>27</v>
      </c>
    </row>
    <row r="189" spans="2:12">
      <c r="B189" s="621" t="s">
        <v>1625</v>
      </c>
      <c r="C189" s="621"/>
      <c r="D189" s="621" t="s">
        <v>153</v>
      </c>
      <c r="E189" s="617">
        <v>160</v>
      </c>
      <c r="F189" s="620" t="s">
        <v>38</v>
      </c>
    </row>
    <row r="190" spans="2:12">
      <c r="B190" s="743" t="s">
        <v>1632</v>
      </c>
      <c r="C190" s="743"/>
      <c r="D190" s="1006" t="s">
        <v>420</v>
      </c>
      <c r="E190" s="617">
        <v>209</v>
      </c>
      <c r="F190" s="620" t="s">
        <v>1394</v>
      </c>
    </row>
    <row r="191" spans="2:12">
      <c r="B191" s="621" t="s">
        <v>1644</v>
      </c>
      <c r="C191" s="621" t="s">
        <v>1643</v>
      </c>
      <c r="D191" s="1006" t="s">
        <v>402</v>
      </c>
      <c r="E191" s="617">
        <v>147</v>
      </c>
      <c r="F191" s="621" t="s">
        <v>33</v>
      </c>
    </row>
    <row r="192" spans="2:12">
      <c r="B192" s="621" t="s">
        <v>1633</v>
      </c>
      <c r="C192" s="621"/>
      <c r="D192" s="1006" t="s">
        <v>440</v>
      </c>
      <c r="E192" s="617">
        <v>228</v>
      </c>
      <c r="F192" s="620" t="s">
        <v>1394</v>
      </c>
    </row>
    <row r="193" spans="2:6">
      <c r="B193" s="621" t="s">
        <v>1634</v>
      </c>
      <c r="C193" s="621"/>
      <c r="D193" s="621" t="s">
        <v>148</v>
      </c>
      <c r="E193" s="617">
        <v>196</v>
      </c>
      <c r="F193" s="743" t="s">
        <v>37</v>
      </c>
    </row>
    <row r="194" spans="2:6">
      <c r="B194" s="621" t="s">
        <v>1635</v>
      </c>
      <c r="C194" s="621"/>
      <c r="D194" s="1006" t="s">
        <v>373</v>
      </c>
      <c r="E194" s="617">
        <v>106</v>
      </c>
      <c r="F194" s="621" t="s">
        <v>1394</v>
      </c>
    </row>
    <row r="195" spans="2:6">
      <c r="B195" s="621" t="s">
        <v>1636</v>
      </c>
      <c r="C195" s="621"/>
      <c r="D195" s="620" t="s">
        <v>70</v>
      </c>
      <c r="E195" s="617">
        <v>54</v>
      </c>
      <c r="F195" s="621" t="s">
        <v>28</v>
      </c>
    </row>
    <row r="196" spans="2:6">
      <c r="B196" s="621" t="s">
        <v>1649</v>
      </c>
      <c r="C196" s="621"/>
      <c r="D196" s="621" t="s">
        <v>114</v>
      </c>
      <c r="E196" s="617">
        <v>104</v>
      </c>
      <c r="F196" s="621" t="s">
        <v>33</v>
      </c>
    </row>
    <row r="197" spans="2:6">
      <c r="B197" s="621" t="s">
        <v>1637</v>
      </c>
      <c r="C197" s="621"/>
      <c r="D197" s="621" t="s">
        <v>178</v>
      </c>
      <c r="E197" s="617">
        <v>164</v>
      </c>
      <c r="F197" s="621" t="s">
        <v>176</v>
      </c>
    </row>
    <row r="198" spans="2:6" ht="30">
      <c r="B198" s="621" t="s">
        <v>1541</v>
      </c>
      <c r="C198" s="753" t="s">
        <v>1542</v>
      </c>
      <c r="D198" s="621" t="s">
        <v>175</v>
      </c>
      <c r="E198" s="617">
        <v>193</v>
      </c>
      <c r="F198" s="743" t="s">
        <v>176</v>
      </c>
    </row>
    <row r="199" spans="2:6">
      <c r="B199" s="621" t="s">
        <v>534</v>
      </c>
      <c r="C199" s="621"/>
      <c r="D199" s="621" t="s">
        <v>141</v>
      </c>
      <c r="E199" s="617">
        <v>131</v>
      </c>
      <c r="F199" s="621" t="s">
        <v>36</v>
      </c>
    </row>
    <row r="200" spans="2:6">
      <c r="B200" s="621" t="s">
        <v>1639</v>
      </c>
      <c r="C200" s="621"/>
      <c r="D200" s="621" t="s">
        <v>75</v>
      </c>
      <c r="E200" s="617">
        <v>204</v>
      </c>
      <c r="F200" s="621" t="s">
        <v>29</v>
      </c>
    </row>
    <row r="201" spans="2:6">
      <c r="B201" s="621" t="s">
        <v>1640</v>
      </c>
      <c r="C201" s="621"/>
      <c r="D201" s="621" t="s">
        <v>113</v>
      </c>
      <c r="E201" s="617">
        <v>103</v>
      </c>
      <c r="F201" s="621" t="s">
        <v>33</v>
      </c>
    </row>
    <row r="202" spans="2:6" s="226" customFormat="1">
      <c r="B202" s="621" t="s">
        <v>1642</v>
      </c>
      <c r="C202" s="621" t="s">
        <v>1641</v>
      </c>
      <c r="D202" s="1006" t="s">
        <v>368</v>
      </c>
      <c r="E202" s="617">
        <v>99</v>
      </c>
      <c r="F202" s="621" t="s">
        <v>33</v>
      </c>
    </row>
    <row r="203" spans="2:6" ht="30">
      <c r="B203" s="625" t="s">
        <v>1792</v>
      </c>
      <c r="C203" s="752" t="s">
        <v>1791</v>
      </c>
      <c r="D203" s="752" t="s">
        <v>1790</v>
      </c>
      <c r="E203" s="617">
        <v>253</v>
      </c>
      <c r="F203" s="622" t="s">
        <v>1394</v>
      </c>
    </row>
    <row r="204" spans="2:6">
      <c r="B204" s="743" t="s">
        <v>1648</v>
      </c>
      <c r="C204" s="743"/>
      <c r="D204" s="1006" t="s">
        <v>424</v>
      </c>
      <c r="E204" s="617">
        <v>213</v>
      </c>
      <c r="F204" s="620" t="s">
        <v>33</v>
      </c>
    </row>
    <row r="205" spans="2:6">
      <c r="B205" s="621" t="s">
        <v>1651</v>
      </c>
      <c r="C205" s="621" t="s">
        <v>1650</v>
      </c>
      <c r="D205" s="1006" t="s">
        <v>401</v>
      </c>
      <c r="E205" s="617">
        <v>146</v>
      </c>
      <c r="F205" s="621" t="s">
        <v>33</v>
      </c>
    </row>
    <row r="206" spans="2:6">
      <c r="B206" s="621" t="s">
        <v>1594</v>
      </c>
      <c r="C206" s="621" t="s">
        <v>1920</v>
      </c>
      <c r="D206" s="1006" t="s">
        <v>375</v>
      </c>
      <c r="E206" s="617">
        <v>112</v>
      </c>
      <c r="F206" s="621" t="s">
        <v>1394</v>
      </c>
    </row>
    <row r="207" spans="2:6">
      <c r="B207" s="621" t="s">
        <v>1653</v>
      </c>
      <c r="C207" s="621" t="s">
        <v>1652</v>
      </c>
      <c r="D207" s="1006" t="s">
        <v>356</v>
      </c>
      <c r="E207" s="617">
        <v>83</v>
      </c>
      <c r="F207" s="621" t="s">
        <v>189</v>
      </c>
    </row>
    <row r="208" spans="2:6">
      <c r="B208" s="1007" t="s">
        <v>1955</v>
      </c>
      <c r="C208" s="751"/>
      <c r="D208" s="1006" t="s">
        <v>1933</v>
      </c>
      <c r="E208" s="622" t="s">
        <v>1976</v>
      </c>
      <c r="F208" s="622" t="s">
        <v>1394</v>
      </c>
    </row>
    <row r="209" spans="2:11">
      <c r="B209" s="621" t="s">
        <v>1656</v>
      </c>
      <c r="C209" s="621" t="s">
        <v>1654</v>
      </c>
      <c r="D209" s="1006" t="s">
        <v>427</v>
      </c>
      <c r="E209" s="617">
        <v>216</v>
      </c>
      <c r="F209" s="620" t="s">
        <v>1394</v>
      </c>
    </row>
    <row r="210" spans="2:11">
      <c r="B210" s="621" t="s">
        <v>1658</v>
      </c>
      <c r="C210" s="621"/>
      <c r="D210" s="621" t="s">
        <v>147</v>
      </c>
      <c r="E210" s="617">
        <v>200</v>
      </c>
      <c r="F210" s="621" t="s">
        <v>37</v>
      </c>
    </row>
    <row r="211" spans="2:11">
      <c r="B211" s="621" t="s">
        <v>1660</v>
      </c>
      <c r="C211" s="621"/>
      <c r="D211" s="621" t="s">
        <v>155</v>
      </c>
      <c r="E211" s="617">
        <v>166</v>
      </c>
      <c r="F211" s="620" t="s">
        <v>38</v>
      </c>
    </row>
    <row r="212" spans="2:11">
      <c r="B212" s="621" t="s">
        <v>1661</v>
      </c>
      <c r="C212" s="621"/>
      <c r="D212" s="1006" t="s">
        <v>384</v>
      </c>
      <c r="E212" s="617">
        <v>124</v>
      </c>
      <c r="F212" s="621" t="s">
        <v>1394</v>
      </c>
    </row>
    <row r="213" spans="2:11" ht="30">
      <c r="B213" s="621" t="s">
        <v>1762</v>
      </c>
      <c r="C213" s="621" t="s">
        <v>1763</v>
      </c>
      <c r="D213" s="1006" t="s">
        <v>441</v>
      </c>
      <c r="E213" s="617">
        <v>229</v>
      </c>
      <c r="F213" s="620" t="s">
        <v>1394</v>
      </c>
    </row>
    <row r="214" spans="2:11">
      <c r="B214" s="621" t="s">
        <v>1671</v>
      </c>
      <c r="C214" s="621" t="s">
        <v>1060</v>
      </c>
      <c r="D214" s="1006" t="s">
        <v>448</v>
      </c>
      <c r="E214" s="617">
        <v>237</v>
      </c>
      <c r="F214" s="620" t="s">
        <v>1394</v>
      </c>
    </row>
    <row r="215" spans="2:11">
      <c r="B215" s="621" t="s">
        <v>1668</v>
      </c>
      <c r="C215" s="621"/>
      <c r="D215" s="1006" t="s">
        <v>366</v>
      </c>
      <c r="E215" s="617">
        <v>97</v>
      </c>
      <c r="F215" s="621" t="s">
        <v>1394</v>
      </c>
    </row>
    <row r="216" spans="2:11">
      <c r="B216" s="621" t="s">
        <v>1669</v>
      </c>
      <c r="C216" s="621"/>
      <c r="D216" s="1006" t="s">
        <v>443</v>
      </c>
      <c r="E216" s="617">
        <v>231</v>
      </c>
      <c r="F216" s="620" t="s">
        <v>1394</v>
      </c>
    </row>
    <row r="217" spans="2:11">
      <c r="B217" s="621" t="s">
        <v>1670</v>
      </c>
      <c r="C217" s="621"/>
      <c r="D217" s="621" t="s">
        <v>156</v>
      </c>
      <c r="E217" s="617">
        <v>167</v>
      </c>
      <c r="F217" s="620" t="s">
        <v>38</v>
      </c>
    </row>
    <row r="218" spans="2:11">
      <c r="B218" s="621" t="s">
        <v>1563</v>
      </c>
      <c r="C218" s="621"/>
      <c r="D218" s="621" t="s">
        <v>59</v>
      </c>
      <c r="E218" s="617">
        <v>203</v>
      </c>
      <c r="F218" s="621" t="s">
        <v>29</v>
      </c>
    </row>
    <row r="219" spans="2:11">
      <c r="B219" s="621" t="s">
        <v>1676</v>
      </c>
      <c r="C219" s="621"/>
      <c r="D219" s="620" t="s">
        <v>119</v>
      </c>
      <c r="E219" s="617">
        <v>66</v>
      </c>
      <c r="F219" s="621" t="s">
        <v>29</v>
      </c>
    </row>
    <row r="220" spans="2:11">
      <c r="B220" s="1007" t="s">
        <v>1677</v>
      </c>
      <c r="C220" s="732"/>
      <c r="D220" s="1007" t="s">
        <v>1403</v>
      </c>
      <c r="E220" s="624">
        <v>242</v>
      </c>
      <c r="F220" s="621" t="s">
        <v>41</v>
      </c>
    </row>
    <row r="221" spans="2:11">
      <c r="B221" s="621" t="s">
        <v>1722</v>
      </c>
      <c r="C221" s="621" t="s">
        <v>1721</v>
      </c>
      <c r="D221" s="1006" t="s">
        <v>359</v>
      </c>
      <c r="E221" s="617">
        <v>88</v>
      </c>
      <c r="F221" s="621" t="s">
        <v>189</v>
      </c>
    </row>
    <row r="222" spans="2:11">
      <c r="B222" s="743" t="s">
        <v>1678</v>
      </c>
      <c r="C222" s="743"/>
      <c r="D222" s="1006" t="s">
        <v>419</v>
      </c>
      <c r="E222" s="617">
        <v>208</v>
      </c>
      <c r="F222" s="620" t="s">
        <v>1394</v>
      </c>
    </row>
    <row r="223" spans="2:11" s="226" customFormat="1">
      <c r="B223" s="621" t="s">
        <v>1679</v>
      </c>
      <c r="C223" s="621"/>
      <c r="D223" s="1006" t="s">
        <v>431</v>
      </c>
      <c r="E223" s="617">
        <v>220</v>
      </c>
      <c r="F223" s="620" t="s">
        <v>1394</v>
      </c>
      <c r="H223"/>
      <c r="I223"/>
      <c r="J223"/>
      <c r="K223"/>
    </row>
    <row r="224" spans="2:11">
      <c r="B224" s="621" t="s">
        <v>1664</v>
      </c>
      <c r="C224" s="621"/>
      <c r="D224" s="621" t="s">
        <v>139</v>
      </c>
      <c r="E224" s="617">
        <v>133</v>
      </c>
      <c r="F224" s="621" t="s">
        <v>36</v>
      </c>
    </row>
    <row r="225" spans="2:10">
      <c r="B225" s="752" t="s">
        <v>1803</v>
      </c>
      <c r="C225" s="751"/>
      <c r="D225" s="1007" t="s">
        <v>1799</v>
      </c>
      <c r="E225" s="617">
        <v>255</v>
      </c>
      <c r="F225" s="622" t="s">
        <v>1394</v>
      </c>
    </row>
    <row r="226" spans="2:10">
      <c r="B226" s="621" t="s">
        <v>1680</v>
      </c>
      <c r="C226" s="621"/>
      <c r="D226" s="620" t="s">
        <v>118</v>
      </c>
      <c r="E226" s="617">
        <v>24</v>
      </c>
      <c r="F226" s="621" t="s">
        <v>36</v>
      </c>
    </row>
    <row r="227" spans="2:10">
      <c r="B227" s="621" t="s">
        <v>1681</v>
      </c>
      <c r="C227" s="621"/>
      <c r="D227" s="621" t="s">
        <v>77</v>
      </c>
      <c r="E227" s="617">
        <v>114</v>
      </c>
      <c r="F227" s="621" t="s">
        <v>28</v>
      </c>
    </row>
    <row r="228" spans="2:10">
      <c r="B228" s="752" t="s">
        <v>1922</v>
      </c>
      <c r="C228" s="751"/>
      <c r="D228" s="1006" t="s">
        <v>1918</v>
      </c>
      <c r="E228" s="617">
        <v>259</v>
      </c>
      <c r="F228" s="622" t="s">
        <v>1394</v>
      </c>
    </row>
    <row r="229" spans="2:10">
      <c r="B229" s="621" t="s">
        <v>1566</v>
      </c>
      <c r="C229" s="621" t="s">
        <v>1567</v>
      </c>
      <c r="D229" s="621" t="s">
        <v>220</v>
      </c>
      <c r="E229" s="617">
        <v>71</v>
      </c>
      <c r="F229" s="621" t="s">
        <v>45</v>
      </c>
    </row>
    <row r="230" spans="2:10">
      <c r="B230" s="621" t="s">
        <v>1568</v>
      </c>
      <c r="C230" s="621" t="s">
        <v>1569</v>
      </c>
      <c r="D230" s="620" t="s">
        <v>217</v>
      </c>
      <c r="E230" s="617">
        <v>70</v>
      </c>
      <c r="F230" s="621" t="s">
        <v>45</v>
      </c>
    </row>
    <row r="231" spans="2:10">
      <c r="B231" s="621" t="s">
        <v>1672</v>
      </c>
      <c r="C231" s="621"/>
      <c r="D231" s="1006" t="s">
        <v>473</v>
      </c>
      <c r="E231" s="622" t="s">
        <v>474</v>
      </c>
      <c r="F231" s="621" t="s">
        <v>41</v>
      </c>
    </row>
    <row r="232" spans="2:10">
      <c r="B232" s="621" t="s">
        <v>1693</v>
      </c>
      <c r="C232" s="621"/>
      <c r="D232" s="621" t="s">
        <v>159</v>
      </c>
      <c r="E232" s="617">
        <v>171</v>
      </c>
      <c r="F232" s="620" t="s">
        <v>38</v>
      </c>
    </row>
    <row r="233" spans="2:10">
      <c r="B233" s="621" t="s">
        <v>1694</v>
      </c>
      <c r="C233" s="621"/>
      <c r="D233" s="1006" t="s">
        <v>405</v>
      </c>
      <c r="E233" s="617">
        <v>150</v>
      </c>
      <c r="F233" s="621" t="s">
        <v>41</v>
      </c>
    </row>
    <row r="234" spans="2:10">
      <c r="B234" s="621" t="s">
        <v>475</v>
      </c>
      <c r="C234" s="621"/>
      <c r="D234" s="1006" t="s">
        <v>476</v>
      </c>
      <c r="E234" s="622" t="s">
        <v>477</v>
      </c>
      <c r="F234" s="621" t="s">
        <v>41</v>
      </c>
    </row>
    <row r="235" spans="2:10">
      <c r="B235" s="1007" t="s">
        <v>1957</v>
      </c>
      <c r="C235" s="732" t="s">
        <v>1958</v>
      </c>
      <c r="D235" s="1006" t="s">
        <v>1956</v>
      </c>
      <c r="E235" s="617">
        <v>267</v>
      </c>
      <c r="F235" s="622" t="s">
        <v>1394</v>
      </c>
    </row>
    <row r="236" spans="2:10">
      <c r="B236" s="621" t="s">
        <v>1695</v>
      </c>
      <c r="C236" s="621"/>
      <c r="D236" s="621" t="s">
        <v>206</v>
      </c>
      <c r="E236" s="617">
        <v>7</v>
      </c>
      <c r="F236" s="621" t="s">
        <v>41</v>
      </c>
    </row>
    <row r="237" spans="2:10">
      <c r="B237" s="621" t="s">
        <v>1622</v>
      </c>
      <c r="C237" s="621"/>
      <c r="D237" s="620" t="s">
        <v>89</v>
      </c>
      <c r="E237" s="617">
        <v>26</v>
      </c>
      <c r="F237" s="621" t="s">
        <v>31</v>
      </c>
    </row>
    <row r="238" spans="2:10">
      <c r="B238" s="752" t="s">
        <v>1804</v>
      </c>
      <c r="C238" s="751"/>
      <c r="D238" s="1007" t="s">
        <v>1800</v>
      </c>
      <c r="E238" s="617">
        <v>256</v>
      </c>
      <c r="F238" s="622" t="s">
        <v>41</v>
      </c>
    </row>
    <row r="239" spans="2:10" s="226" customFormat="1">
      <c r="B239" s="621" t="s">
        <v>1531</v>
      </c>
      <c r="C239" s="621" t="s">
        <v>1481</v>
      </c>
      <c r="D239" s="1006" t="s">
        <v>362</v>
      </c>
      <c r="E239" s="617">
        <v>93</v>
      </c>
      <c r="F239" s="621" t="s">
        <v>1915</v>
      </c>
      <c r="H239"/>
      <c r="I239"/>
      <c r="J239"/>
    </row>
    <row r="240" spans="2:10">
      <c r="B240" s="621" t="s">
        <v>1704</v>
      </c>
      <c r="C240" s="621"/>
      <c r="D240" s="621" t="s">
        <v>162</v>
      </c>
      <c r="E240" s="617">
        <v>174</v>
      </c>
      <c r="F240" s="620" t="s">
        <v>38</v>
      </c>
    </row>
    <row r="241" spans="2:6">
      <c r="B241" s="621" t="s">
        <v>1705</v>
      </c>
      <c r="C241" s="621"/>
      <c r="D241" s="620" t="s">
        <v>80</v>
      </c>
      <c r="E241" s="617">
        <v>77</v>
      </c>
      <c r="F241" s="621" t="s">
        <v>29</v>
      </c>
    </row>
    <row r="242" spans="2:6">
      <c r="B242" s="621" t="s">
        <v>1728</v>
      </c>
      <c r="C242" s="621" t="s">
        <v>1727</v>
      </c>
      <c r="D242" s="621" t="s">
        <v>81</v>
      </c>
      <c r="E242" s="617">
        <v>113</v>
      </c>
      <c r="F242" s="621" t="s">
        <v>29</v>
      </c>
    </row>
    <row r="243" spans="2:6">
      <c r="B243" s="621" t="s">
        <v>1748</v>
      </c>
      <c r="C243" s="621" t="s">
        <v>1747</v>
      </c>
      <c r="D243" s="1006" t="s">
        <v>397</v>
      </c>
      <c r="E243" s="617">
        <v>141</v>
      </c>
      <c r="F243" s="621" t="s">
        <v>1394</v>
      </c>
    </row>
    <row r="244" spans="2:6">
      <c r="B244" s="621" t="s">
        <v>1707</v>
      </c>
      <c r="C244" s="621"/>
      <c r="D244" s="621" t="s">
        <v>163</v>
      </c>
      <c r="E244" s="617">
        <v>175</v>
      </c>
      <c r="F244" s="620" t="s">
        <v>38</v>
      </c>
    </row>
    <row r="245" spans="2:6">
      <c r="B245" s="621" t="s">
        <v>1710</v>
      </c>
      <c r="C245" s="621"/>
      <c r="D245" s="621" t="s">
        <v>411</v>
      </c>
      <c r="E245" s="617">
        <v>177</v>
      </c>
      <c r="F245" s="620" t="s">
        <v>1394</v>
      </c>
    </row>
    <row r="246" spans="2:6">
      <c r="B246" s="621" t="s">
        <v>1711</v>
      </c>
      <c r="C246" s="621"/>
      <c r="D246" s="1006" t="s">
        <v>434</v>
      </c>
      <c r="E246" s="617">
        <v>223</v>
      </c>
      <c r="F246" s="620" t="s">
        <v>1394</v>
      </c>
    </row>
    <row r="247" spans="2:6">
      <c r="B247" s="621" t="s">
        <v>1712</v>
      </c>
      <c r="C247" s="621"/>
      <c r="D247" s="621" t="s">
        <v>207</v>
      </c>
      <c r="E247" s="617">
        <v>8</v>
      </c>
      <c r="F247" s="621" t="s">
        <v>41</v>
      </c>
    </row>
    <row r="248" spans="2:6">
      <c r="B248" s="621" t="s">
        <v>1713</v>
      </c>
      <c r="C248" s="621"/>
      <c r="D248" s="621" t="s">
        <v>165</v>
      </c>
      <c r="E248" s="617">
        <v>178</v>
      </c>
      <c r="F248" s="620" t="s">
        <v>38</v>
      </c>
    </row>
    <row r="249" spans="2:6">
      <c r="B249" s="1007" t="s">
        <v>1965</v>
      </c>
      <c r="C249" s="752" t="s">
        <v>1944</v>
      </c>
      <c r="D249" s="1006" t="s">
        <v>1942</v>
      </c>
      <c r="E249" s="617">
        <v>275</v>
      </c>
      <c r="F249" s="622" t="s">
        <v>1394</v>
      </c>
    </row>
    <row r="250" spans="2:6">
      <c r="B250" s="1007" t="s">
        <v>1638</v>
      </c>
      <c r="C250" s="732"/>
      <c r="D250" s="1007" t="s">
        <v>1400</v>
      </c>
      <c r="E250" s="624">
        <v>239</v>
      </c>
      <c r="F250" s="621" t="s">
        <v>1394</v>
      </c>
    </row>
    <row r="251" spans="2:6" s="222" customFormat="1">
      <c r="B251" s="625" t="s">
        <v>1645</v>
      </c>
      <c r="C251" s="633"/>
      <c r="D251" s="1007" t="s">
        <v>1399</v>
      </c>
      <c r="E251" s="624">
        <v>238</v>
      </c>
      <c r="F251" s="621" t="s">
        <v>1394</v>
      </c>
    </row>
    <row r="252" spans="2:6">
      <c r="B252" s="621" t="s">
        <v>1647</v>
      </c>
      <c r="C252" s="621" t="s">
        <v>1646</v>
      </c>
      <c r="D252" s="1006" t="s">
        <v>348</v>
      </c>
      <c r="E252" s="617">
        <v>68</v>
      </c>
      <c r="F252" s="621" t="s">
        <v>1394</v>
      </c>
    </row>
    <row r="253" spans="2:6">
      <c r="B253" s="621" t="s">
        <v>1716</v>
      </c>
      <c r="C253" s="621"/>
      <c r="D253" s="1006" t="s">
        <v>432</v>
      </c>
      <c r="E253" s="617">
        <v>221</v>
      </c>
      <c r="F253" s="620" t="s">
        <v>1394</v>
      </c>
    </row>
    <row r="254" spans="2:6">
      <c r="B254" s="1007" t="s">
        <v>1706</v>
      </c>
      <c r="C254" s="732"/>
      <c r="D254" s="1007" t="s">
        <v>1401</v>
      </c>
      <c r="E254" s="624">
        <v>240</v>
      </c>
      <c r="F254" s="621" t="s">
        <v>1394</v>
      </c>
    </row>
    <row r="255" spans="2:6">
      <c r="B255" s="621" t="s">
        <v>1682</v>
      </c>
      <c r="C255" s="621"/>
      <c r="D255" s="1006" t="s">
        <v>415</v>
      </c>
      <c r="E255" s="617">
        <v>197</v>
      </c>
      <c r="F255" s="743" t="s">
        <v>1394</v>
      </c>
    </row>
    <row r="256" spans="2:6">
      <c r="B256" s="621" t="s">
        <v>1570</v>
      </c>
      <c r="C256" s="621"/>
      <c r="D256" s="621" t="s">
        <v>223</v>
      </c>
      <c r="E256" s="617">
        <v>73</v>
      </c>
      <c r="F256" s="621" t="s">
        <v>45</v>
      </c>
    </row>
    <row r="257" spans="2:11">
      <c r="B257" s="621" t="s">
        <v>1586</v>
      </c>
      <c r="C257" s="621"/>
      <c r="D257" s="621" t="s">
        <v>464</v>
      </c>
      <c r="E257" s="622" t="s">
        <v>465</v>
      </c>
      <c r="F257" s="620" t="s">
        <v>1394</v>
      </c>
    </row>
    <row r="258" spans="2:11">
      <c r="B258" s="621" t="s">
        <v>1623</v>
      </c>
      <c r="C258" s="621"/>
      <c r="D258" s="620" t="s">
        <v>88</v>
      </c>
      <c r="E258" s="617">
        <v>25</v>
      </c>
      <c r="F258" s="621" t="s">
        <v>31</v>
      </c>
    </row>
    <row r="259" spans="2:11" ht="30">
      <c r="B259" s="621" t="s">
        <v>1685</v>
      </c>
      <c r="C259" s="621" t="s">
        <v>1686</v>
      </c>
      <c r="D259" s="620" t="s">
        <v>191</v>
      </c>
      <c r="E259" s="617">
        <v>82</v>
      </c>
      <c r="F259" s="621" t="s">
        <v>189</v>
      </c>
      <c r="J259" s="226"/>
    </row>
    <row r="260" spans="2:11">
      <c r="B260" s="752" t="s">
        <v>1805</v>
      </c>
      <c r="C260" s="751"/>
      <c r="D260" s="635" t="s">
        <v>1801</v>
      </c>
      <c r="E260" s="617">
        <v>257</v>
      </c>
      <c r="F260" s="622" t="s">
        <v>1394</v>
      </c>
      <c r="I260" s="285"/>
    </row>
    <row r="261" spans="2:11">
      <c r="B261" s="620" t="s">
        <v>1530</v>
      </c>
      <c r="C261" s="741" t="s">
        <v>1445</v>
      </c>
      <c r="D261" s="1006" t="s">
        <v>1437</v>
      </c>
      <c r="E261" s="622">
        <v>246</v>
      </c>
      <c r="F261" s="621" t="s">
        <v>1394</v>
      </c>
    </row>
    <row r="262" spans="2:11">
      <c r="B262" s="1011" t="s">
        <v>1964</v>
      </c>
      <c r="C262" s="752" t="s">
        <v>1941</v>
      </c>
      <c r="D262" s="1006" t="s">
        <v>1940</v>
      </c>
      <c r="E262" s="617">
        <v>274</v>
      </c>
      <c r="F262" s="622" t="s">
        <v>1394</v>
      </c>
    </row>
    <row r="263" spans="2:11">
      <c r="B263" s="1007" t="s">
        <v>1434</v>
      </c>
      <c r="C263" s="624"/>
      <c r="D263" s="1007" t="s">
        <v>1402</v>
      </c>
      <c r="E263" s="624">
        <v>241</v>
      </c>
      <c r="F263" s="621" t="s">
        <v>1394</v>
      </c>
    </row>
    <row r="264" spans="2:11">
      <c r="B264" s="621" t="s">
        <v>1572</v>
      </c>
      <c r="C264" s="621" t="s">
        <v>1571</v>
      </c>
      <c r="D264" s="1006" t="s">
        <v>1425</v>
      </c>
      <c r="E264" s="622" t="s">
        <v>1426</v>
      </c>
      <c r="F264" s="621" t="s">
        <v>1394</v>
      </c>
    </row>
    <row r="265" spans="2:11">
      <c r="B265" s="621" t="s">
        <v>1730</v>
      </c>
      <c r="C265" s="621" t="s">
        <v>1731</v>
      </c>
      <c r="D265" s="1006" t="s">
        <v>429</v>
      </c>
      <c r="E265" s="617">
        <v>218</v>
      </c>
      <c r="F265" s="620" t="s">
        <v>1394</v>
      </c>
      <c r="H265" s="226"/>
      <c r="I265" s="226"/>
    </row>
    <row r="266" spans="2:11">
      <c r="B266" s="621" t="s">
        <v>1621</v>
      </c>
      <c r="C266" s="621"/>
      <c r="D266" s="620" t="s">
        <v>90</v>
      </c>
      <c r="E266" s="617">
        <v>27</v>
      </c>
      <c r="F266" s="621" t="s">
        <v>31</v>
      </c>
    </row>
    <row r="267" spans="2:11">
      <c r="B267" s="621" t="s">
        <v>1527</v>
      </c>
      <c r="C267" s="621" t="s">
        <v>1528</v>
      </c>
      <c r="D267" s="1006" t="s">
        <v>365</v>
      </c>
      <c r="E267" s="617">
        <v>96</v>
      </c>
      <c r="F267" s="621" t="s">
        <v>1394</v>
      </c>
    </row>
    <row r="268" spans="2:11">
      <c r="B268" s="621" t="s">
        <v>1741</v>
      </c>
      <c r="C268" s="621"/>
      <c r="D268" s="1006" t="s">
        <v>445</v>
      </c>
      <c r="E268" s="617">
        <v>233</v>
      </c>
      <c r="F268" s="620" t="s">
        <v>1394</v>
      </c>
      <c r="K268" s="226"/>
    </row>
    <row r="269" spans="2:11">
      <c r="B269" s="621" t="s">
        <v>1742</v>
      </c>
      <c r="C269" s="621"/>
      <c r="D269" s="620" t="s">
        <v>117</v>
      </c>
      <c r="E269" s="617">
        <v>23</v>
      </c>
      <c r="F269" s="621" t="s">
        <v>36</v>
      </c>
    </row>
    <row r="270" spans="2:11">
      <c r="B270" s="621" t="s">
        <v>1743</v>
      </c>
      <c r="C270" s="621"/>
      <c r="D270" s="620" t="s">
        <v>109</v>
      </c>
      <c r="E270" s="617">
        <v>179</v>
      </c>
      <c r="F270" s="621" t="s">
        <v>32</v>
      </c>
    </row>
    <row r="271" spans="2:11">
      <c r="B271" s="621" t="s">
        <v>1745</v>
      </c>
      <c r="C271" s="621" t="s">
        <v>1744</v>
      </c>
      <c r="D271" s="1006" t="s">
        <v>360</v>
      </c>
      <c r="E271" s="617">
        <v>89</v>
      </c>
      <c r="F271" s="621" t="s">
        <v>189</v>
      </c>
    </row>
    <row r="272" spans="2:11">
      <c r="B272" s="752" t="s">
        <v>1928</v>
      </c>
      <c r="C272" s="751"/>
      <c r="D272" s="1006" t="s">
        <v>1929</v>
      </c>
      <c r="E272" s="617">
        <v>263</v>
      </c>
      <c r="F272" s="622" t="s">
        <v>1394</v>
      </c>
    </row>
    <row r="273" spans="2:12" ht="30">
      <c r="B273" s="621" t="s">
        <v>1758</v>
      </c>
      <c r="C273" s="621" t="s">
        <v>1757</v>
      </c>
      <c r="D273" s="620" t="s">
        <v>188</v>
      </c>
      <c r="E273" s="617">
        <v>80</v>
      </c>
      <c r="F273" s="621" t="s">
        <v>189</v>
      </c>
      <c r="L273" s="226"/>
    </row>
    <row r="274" spans="2:12">
      <c r="B274" s="621" t="s">
        <v>611</v>
      </c>
      <c r="C274" s="621"/>
      <c r="D274" s="1006" t="s">
        <v>478</v>
      </c>
      <c r="E274" s="622" t="s">
        <v>480</v>
      </c>
      <c r="F274" s="621" t="s">
        <v>1394</v>
      </c>
    </row>
    <row r="275" spans="2:12">
      <c r="B275" s="621" t="s">
        <v>1746</v>
      </c>
      <c r="C275" s="621"/>
      <c r="D275" s="1006" t="s">
        <v>479</v>
      </c>
      <c r="E275" s="622" t="s">
        <v>481</v>
      </c>
      <c r="F275" s="621" t="s">
        <v>1394</v>
      </c>
    </row>
    <row r="276" spans="2:12">
      <c r="B276" s="743" t="s">
        <v>1559</v>
      </c>
      <c r="C276" s="743" t="s">
        <v>1529</v>
      </c>
      <c r="D276" s="1006" t="s">
        <v>425</v>
      </c>
      <c r="E276" s="617">
        <v>214</v>
      </c>
      <c r="F276" s="620" t="s">
        <v>31</v>
      </c>
    </row>
    <row r="277" spans="2:12" ht="45">
      <c r="B277" s="621" t="s">
        <v>1740</v>
      </c>
      <c r="C277" s="621" t="s">
        <v>1787</v>
      </c>
      <c r="D277" s="620" t="s">
        <v>218</v>
      </c>
      <c r="E277" s="617">
        <v>13</v>
      </c>
      <c r="F277" s="621" t="s">
        <v>34</v>
      </c>
    </row>
    <row r="278" spans="2:12">
      <c r="B278" s="621" t="s">
        <v>482</v>
      </c>
      <c r="C278" s="621"/>
      <c r="D278" s="601" t="s">
        <v>614</v>
      </c>
      <c r="E278" s="622" t="s">
        <v>483</v>
      </c>
      <c r="F278" s="621" t="s">
        <v>1394</v>
      </c>
    </row>
    <row r="279" spans="2:12" s="226" customFormat="1">
      <c r="B279" s="621" t="s">
        <v>1751</v>
      </c>
      <c r="C279" s="621"/>
      <c r="D279" s="620" t="s">
        <v>412</v>
      </c>
      <c r="E279" s="617">
        <v>180</v>
      </c>
      <c r="F279" s="621" t="s">
        <v>1394</v>
      </c>
      <c r="H279"/>
      <c r="I279"/>
      <c r="J279"/>
      <c r="K279"/>
      <c r="L279"/>
    </row>
    <row r="280" spans="2:12">
      <c r="B280" s="621" t="s">
        <v>1752</v>
      </c>
      <c r="C280" s="621"/>
      <c r="D280" s="1006" t="s">
        <v>413</v>
      </c>
      <c r="E280" s="617">
        <v>181</v>
      </c>
      <c r="F280" s="621" t="s">
        <v>1394</v>
      </c>
    </row>
    <row r="281" spans="2:12">
      <c r="B281" s="621" t="s">
        <v>1535</v>
      </c>
      <c r="C281" s="621" t="s">
        <v>1486</v>
      </c>
      <c r="D281" s="1006" t="s">
        <v>367</v>
      </c>
      <c r="E281" s="617">
        <v>98</v>
      </c>
      <c r="F281" s="621" t="s">
        <v>1394</v>
      </c>
    </row>
    <row r="282" spans="2:12">
      <c r="B282" s="621" t="s">
        <v>1548</v>
      </c>
      <c r="C282" s="621" t="s">
        <v>1549</v>
      </c>
      <c r="D282" s="620" t="s">
        <v>79</v>
      </c>
      <c r="E282" s="617">
        <v>76</v>
      </c>
      <c r="F282" s="621" t="s">
        <v>29</v>
      </c>
    </row>
    <row r="283" spans="2:12">
      <c r="B283" s="743" t="s">
        <v>1753</v>
      </c>
      <c r="C283" s="743"/>
      <c r="D283" s="1006" t="s">
        <v>421</v>
      </c>
      <c r="E283" s="617">
        <v>210</v>
      </c>
      <c r="F283" s="620" t="s">
        <v>1394</v>
      </c>
    </row>
    <row r="284" spans="2:12">
      <c r="B284" s="621" t="s">
        <v>1754</v>
      </c>
      <c r="C284" s="621"/>
      <c r="D284" s="1006" t="s">
        <v>414</v>
      </c>
      <c r="E284" s="617">
        <v>182</v>
      </c>
      <c r="F284" s="621" t="s">
        <v>1394</v>
      </c>
    </row>
    <row r="285" spans="2:12">
      <c r="B285" s="621" t="s">
        <v>1755</v>
      </c>
      <c r="C285" s="621"/>
      <c r="D285" s="621" t="s">
        <v>166</v>
      </c>
      <c r="E285" s="617">
        <v>183</v>
      </c>
      <c r="F285" s="620" t="s">
        <v>38</v>
      </c>
    </row>
    <row r="286" spans="2:12">
      <c r="B286" s="621" t="s">
        <v>1573</v>
      </c>
      <c r="C286" s="621"/>
      <c r="D286" s="1006" t="s">
        <v>437</v>
      </c>
      <c r="E286" s="617">
        <v>226</v>
      </c>
      <c r="F286" s="620" t="s">
        <v>1394</v>
      </c>
    </row>
    <row r="287" spans="2:12">
      <c r="B287" s="621" t="s">
        <v>1558</v>
      </c>
      <c r="C287" s="621"/>
      <c r="D287" s="1006" t="s">
        <v>369</v>
      </c>
      <c r="E287" s="617">
        <v>100</v>
      </c>
      <c r="F287" s="621" t="s">
        <v>1914</v>
      </c>
    </row>
    <row r="288" spans="2:12">
      <c r="B288" s="621" t="s">
        <v>1756</v>
      </c>
      <c r="C288" s="621"/>
      <c r="D288" s="1006" t="s">
        <v>435</v>
      </c>
      <c r="E288" s="617">
        <v>224</v>
      </c>
      <c r="F288" s="620" t="s">
        <v>1394</v>
      </c>
    </row>
    <row r="289" spans="2:6">
      <c r="B289" s="1007" t="s">
        <v>1966</v>
      </c>
      <c r="C289" s="752" t="s">
        <v>1945</v>
      </c>
      <c r="D289" s="1006" t="s">
        <v>1943</v>
      </c>
      <c r="E289" s="617">
        <v>276</v>
      </c>
      <c r="F289" s="622" t="s">
        <v>1394</v>
      </c>
    </row>
    <row r="290" spans="2:6">
      <c r="B290" s="621" t="s">
        <v>513</v>
      </c>
      <c r="C290" s="621"/>
      <c r="D290" s="620" t="s">
        <v>82</v>
      </c>
      <c r="E290" s="617">
        <v>65</v>
      </c>
      <c r="F290" s="621" t="s">
        <v>83</v>
      </c>
    </row>
    <row r="291" spans="2:6" ht="30">
      <c r="B291" s="621" t="s">
        <v>1729</v>
      </c>
      <c r="C291" s="621" t="s">
        <v>1726</v>
      </c>
      <c r="D291" s="1006" t="s">
        <v>444</v>
      </c>
      <c r="E291" s="617">
        <v>232</v>
      </c>
      <c r="F291" s="620" t="s">
        <v>1394</v>
      </c>
    </row>
    <row r="292" spans="2:6" ht="45">
      <c r="B292" s="621" t="s">
        <v>1666</v>
      </c>
      <c r="C292" s="621" t="s">
        <v>1665</v>
      </c>
      <c r="D292" s="1006" t="s">
        <v>442</v>
      </c>
      <c r="E292" s="617">
        <v>230</v>
      </c>
      <c r="F292" s="620" t="s">
        <v>1394</v>
      </c>
    </row>
    <row r="293" spans="2:6">
      <c r="B293" s="621" t="s">
        <v>1759</v>
      </c>
      <c r="C293" s="621"/>
      <c r="D293" s="621" t="s">
        <v>167</v>
      </c>
      <c r="E293" s="617">
        <v>184</v>
      </c>
      <c r="F293" s="620" t="s">
        <v>38</v>
      </c>
    </row>
    <row r="294" spans="2:6">
      <c r="B294" s="621" t="s">
        <v>1760</v>
      </c>
      <c r="C294" s="621"/>
      <c r="D294" s="1006" t="s">
        <v>363</v>
      </c>
      <c r="E294" s="617">
        <v>94</v>
      </c>
      <c r="F294" s="621" t="s">
        <v>1394</v>
      </c>
    </row>
    <row r="295" spans="2:6">
      <c r="B295" s="621" t="s">
        <v>1761</v>
      </c>
      <c r="C295" s="621"/>
      <c r="D295" s="621" t="s">
        <v>208</v>
      </c>
      <c r="E295" s="617">
        <v>9</v>
      </c>
      <c r="F295" s="621" t="s">
        <v>41</v>
      </c>
    </row>
    <row r="296" spans="2:6" ht="30">
      <c r="B296" s="621" t="s">
        <v>1626</v>
      </c>
      <c r="C296" s="621" t="s">
        <v>439</v>
      </c>
      <c r="D296" s="1006" t="s">
        <v>438</v>
      </c>
      <c r="E296" s="617">
        <v>227</v>
      </c>
      <c r="F296" s="620" t="s">
        <v>1394</v>
      </c>
    </row>
    <row r="297" spans="2:6">
      <c r="B297" s="621" t="s">
        <v>1764</v>
      </c>
      <c r="C297" s="621"/>
      <c r="D297" s="1006" t="s">
        <v>446</v>
      </c>
      <c r="E297" s="617">
        <v>234</v>
      </c>
      <c r="F297" s="620" t="s">
        <v>1394</v>
      </c>
    </row>
    <row r="298" spans="2:6">
      <c r="B298" s="621" t="s">
        <v>1583</v>
      </c>
      <c r="C298" s="621"/>
      <c r="D298" s="620" t="s">
        <v>212</v>
      </c>
      <c r="E298" s="617">
        <v>59</v>
      </c>
      <c r="F298" s="621" t="s">
        <v>41</v>
      </c>
    </row>
    <row r="299" spans="2:6">
      <c r="B299" s="621" t="s">
        <v>1765</v>
      </c>
      <c r="C299" s="621"/>
      <c r="D299" s="621" t="s">
        <v>168</v>
      </c>
      <c r="E299" s="617">
        <v>185</v>
      </c>
      <c r="F299" s="620" t="s">
        <v>38</v>
      </c>
    </row>
    <row r="300" spans="2:6">
      <c r="B300" s="621" t="s">
        <v>484</v>
      </c>
      <c r="C300" s="621"/>
      <c r="D300" s="621" t="s">
        <v>485</v>
      </c>
      <c r="E300" s="622" t="s">
        <v>486</v>
      </c>
      <c r="F300" s="620" t="s">
        <v>41</v>
      </c>
    </row>
    <row r="301" spans="2:6">
      <c r="B301" s="621" t="s">
        <v>1591</v>
      </c>
      <c r="C301" s="621" t="s">
        <v>1592</v>
      </c>
      <c r="D301" s="621" t="s">
        <v>466</v>
      </c>
      <c r="E301" s="622" t="s">
        <v>458</v>
      </c>
      <c r="F301" s="621" t="s">
        <v>1394</v>
      </c>
    </row>
    <row r="302" spans="2:6" ht="37.5" customHeight="1">
      <c r="B302" s="752" t="s">
        <v>1967</v>
      </c>
      <c r="C302" s="752"/>
      <c r="D302" s="1006" t="s">
        <v>1946</v>
      </c>
      <c r="E302" s="622">
        <v>277</v>
      </c>
      <c r="F302" s="622" t="s">
        <v>1977</v>
      </c>
    </row>
    <row r="303" spans="2:6">
      <c r="B303" s="752" t="s">
        <v>1970</v>
      </c>
      <c r="C303" s="752" t="s">
        <v>1971</v>
      </c>
      <c r="D303" s="1006" t="s">
        <v>1948</v>
      </c>
      <c r="E303" s="617">
        <v>279</v>
      </c>
      <c r="F303" s="622" t="s">
        <v>1394</v>
      </c>
    </row>
    <row r="304" spans="2:6">
      <c r="B304" s="752" t="s">
        <v>1968</v>
      </c>
      <c r="C304" s="751" t="s">
        <v>1969</v>
      </c>
      <c r="D304" s="1006" t="s">
        <v>1947</v>
      </c>
      <c r="E304" s="617">
        <v>278</v>
      </c>
      <c r="F304" s="622" t="s">
        <v>1394</v>
      </c>
    </row>
    <row r="305" spans="2:6">
      <c r="B305" s="621" t="s">
        <v>1786</v>
      </c>
      <c r="C305" s="621" t="s">
        <v>1785</v>
      </c>
      <c r="D305" s="1006" t="s">
        <v>436</v>
      </c>
      <c r="E305" s="617">
        <v>225</v>
      </c>
      <c r="F305" s="620" t="s">
        <v>1394</v>
      </c>
    </row>
    <row r="306" spans="2:6">
      <c r="B306" s="621" t="s">
        <v>1574</v>
      </c>
      <c r="C306" s="621" t="s">
        <v>1575</v>
      </c>
      <c r="D306" s="1006" t="s">
        <v>1428</v>
      </c>
      <c r="E306" s="622" t="s">
        <v>1427</v>
      </c>
      <c r="F306" s="620" t="s">
        <v>1394</v>
      </c>
    </row>
    <row r="307" spans="2:6">
      <c r="B307" s="621" t="s">
        <v>1770</v>
      </c>
      <c r="C307" s="621"/>
      <c r="D307" s="620" t="s">
        <v>214</v>
      </c>
      <c r="E307" s="617">
        <v>61</v>
      </c>
      <c r="F307" s="621" t="s">
        <v>41</v>
      </c>
    </row>
    <row r="308" spans="2:6">
      <c r="B308" s="621" t="s">
        <v>1771</v>
      </c>
      <c r="C308" s="621"/>
      <c r="D308" s="1006" t="s">
        <v>353</v>
      </c>
      <c r="E308" s="617" t="s">
        <v>346</v>
      </c>
      <c r="F308" s="621" t="s">
        <v>1394</v>
      </c>
    </row>
    <row r="309" spans="2:6">
      <c r="B309" s="621" t="s">
        <v>1767</v>
      </c>
      <c r="C309" s="744"/>
      <c r="D309" s="620" t="s">
        <v>487</v>
      </c>
      <c r="E309" s="622" t="s">
        <v>488</v>
      </c>
      <c r="F309" s="621" t="s">
        <v>1394</v>
      </c>
    </row>
    <row r="310" spans="2:6">
      <c r="B310" s="621" t="s">
        <v>1576</v>
      </c>
      <c r="C310" s="621"/>
      <c r="D310" s="621" t="s">
        <v>222</v>
      </c>
      <c r="E310" s="617">
        <v>72</v>
      </c>
      <c r="F310" s="621" t="s">
        <v>45</v>
      </c>
    </row>
    <row r="311" spans="2:6" ht="60">
      <c r="B311" s="621" t="s">
        <v>1556</v>
      </c>
      <c r="C311" s="753" t="s">
        <v>1555</v>
      </c>
      <c r="D311" s="621" t="s">
        <v>142</v>
      </c>
      <c r="E311" s="617">
        <v>188</v>
      </c>
      <c r="F311" s="621" t="s">
        <v>36</v>
      </c>
    </row>
    <row r="312" spans="2:6" s="439" customFormat="1">
      <c r="B312" s="743" t="s">
        <v>1772</v>
      </c>
      <c r="C312" s="743"/>
      <c r="D312" s="1006" t="s">
        <v>417</v>
      </c>
      <c r="E312" s="617">
        <v>206</v>
      </c>
      <c r="F312" s="620" t="s">
        <v>1394</v>
      </c>
    </row>
    <row r="313" spans="2:6">
      <c r="B313" s="621" t="s">
        <v>1631</v>
      </c>
      <c r="C313" s="744"/>
      <c r="D313" s="1006" t="s">
        <v>409</v>
      </c>
      <c r="E313" s="617">
        <v>162</v>
      </c>
      <c r="F313" s="620" t="s">
        <v>1394</v>
      </c>
    </row>
    <row r="314" spans="2:6">
      <c r="B314" s="621" t="s">
        <v>1773</v>
      </c>
      <c r="C314" s="621"/>
      <c r="D314" s="621" t="s">
        <v>169</v>
      </c>
      <c r="E314" s="617">
        <v>186</v>
      </c>
      <c r="F314" s="620" t="s">
        <v>38</v>
      </c>
    </row>
    <row r="315" spans="2:6">
      <c r="B315" s="621" t="s">
        <v>1774</v>
      </c>
      <c r="C315" s="621"/>
      <c r="D315" s="621" t="s">
        <v>170</v>
      </c>
      <c r="E315" s="617">
        <v>187</v>
      </c>
      <c r="F315" s="620" t="s">
        <v>38</v>
      </c>
    </row>
    <row r="316" spans="2:6">
      <c r="B316" s="621" t="s">
        <v>1777</v>
      </c>
      <c r="C316" s="621"/>
      <c r="D316" s="1006" t="s">
        <v>364</v>
      </c>
      <c r="E316" s="617">
        <v>95</v>
      </c>
      <c r="F316" s="621" t="s">
        <v>27</v>
      </c>
    </row>
    <row r="317" spans="2:6">
      <c r="B317" s="621" t="s">
        <v>1778</v>
      </c>
      <c r="C317" s="621"/>
      <c r="D317" s="621" t="s">
        <v>209</v>
      </c>
      <c r="E317" s="617">
        <v>143</v>
      </c>
      <c r="F317" s="621" t="s">
        <v>41</v>
      </c>
    </row>
    <row r="318" spans="2:6">
      <c r="B318" s="621" t="s">
        <v>1779</v>
      </c>
      <c r="C318" s="621"/>
      <c r="D318" s="1006" t="s">
        <v>400</v>
      </c>
      <c r="E318" s="617">
        <v>145</v>
      </c>
      <c r="F318" s="621" t="s">
        <v>31</v>
      </c>
    </row>
    <row r="319" spans="2:6">
      <c r="B319" s="621" t="s">
        <v>1667</v>
      </c>
      <c r="C319" s="621"/>
      <c r="D319" s="621" t="s">
        <v>205</v>
      </c>
      <c r="E319" s="617">
        <v>6</v>
      </c>
      <c r="F319" s="621" t="s">
        <v>41</v>
      </c>
    </row>
    <row r="320" spans="2:6">
      <c r="B320" s="621" t="s">
        <v>1780</v>
      </c>
      <c r="C320" s="621"/>
      <c r="D320" s="621" t="s">
        <v>210</v>
      </c>
      <c r="E320" s="617">
        <v>10</v>
      </c>
      <c r="F320" s="621" t="s">
        <v>41</v>
      </c>
    </row>
    <row r="321" spans="2:6" ht="30">
      <c r="B321" s="743" t="s">
        <v>1782</v>
      </c>
      <c r="C321" s="743" t="s">
        <v>1781</v>
      </c>
      <c r="D321" s="1006" t="s">
        <v>423</v>
      </c>
      <c r="E321" s="617">
        <v>212</v>
      </c>
      <c r="F321" s="620" t="s">
        <v>1394</v>
      </c>
    </row>
    <row r="322" spans="2:6">
      <c r="B322" s="621" t="s">
        <v>1783</v>
      </c>
      <c r="C322" s="621"/>
      <c r="D322" s="1006" t="s">
        <v>447</v>
      </c>
      <c r="E322" s="617">
        <v>235</v>
      </c>
      <c r="F322" s="620" t="s">
        <v>1394</v>
      </c>
    </row>
    <row r="323" spans="2:6">
      <c r="B323" s="621" t="s">
        <v>1784</v>
      </c>
      <c r="C323" s="621"/>
      <c r="D323" s="621" t="s">
        <v>211</v>
      </c>
      <c r="E323" s="617">
        <v>11</v>
      </c>
      <c r="F323" s="621" t="s">
        <v>41</v>
      </c>
    </row>
    <row r="324" spans="2:6">
      <c r="B324" s="621" t="s">
        <v>1692</v>
      </c>
      <c r="C324" s="621" t="s">
        <v>1691</v>
      </c>
      <c r="D324" s="621" t="s">
        <v>140</v>
      </c>
      <c r="E324" s="617">
        <v>136</v>
      </c>
      <c r="F324" s="621" t="s">
        <v>36</v>
      </c>
    </row>
  </sheetData>
  <sortState ref="B15:F324">
    <sortCondition ref="B324"/>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tabColor rgb="FF00B050"/>
  </sheetPr>
  <dimension ref="B2:J29"/>
  <sheetViews>
    <sheetView workbookViewId="0">
      <selection activeCell="H22" sqref="H22"/>
    </sheetView>
  </sheetViews>
  <sheetFormatPr baseColWidth="10" defaultRowHeight="15"/>
  <cols>
    <col min="2" max="2" width="8.5703125" style="3" customWidth="1"/>
    <col min="3" max="3" width="17.7109375" customWidth="1"/>
    <col min="4" max="4" width="25.7109375" customWidth="1"/>
    <col min="5" max="5" width="50.7109375" customWidth="1"/>
  </cols>
  <sheetData>
    <row r="2" spans="2:10">
      <c r="B2" t="s">
        <v>453</v>
      </c>
      <c r="C2" s="3"/>
    </row>
    <row r="3" spans="2:10" ht="15.75" thickBot="1">
      <c r="B3"/>
      <c r="C3" s="3"/>
    </row>
    <row r="4" spans="2:10">
      <c r="B4" s="40" t="s">
        <v>495</v>
      </c>
      <c r="C4" s="41"/>
      <c r="D4" s="42"/>
      <c r="E4" s="42"/>
      <c r="F4" s="42"/>
      <c r="G4" s="42"/>
      <c r="H4" s="42"/>
      <c r="I4" s="42"/>
      <c r="J4" s="43"/>
    </row>
    <row r="5" spans="2:10">
      <c r="B5" s="44" t="s">
        <v>1384</v>
      </c>
      <c r="C5" s="45"/>
      <c r="D5" s="46"/>
      <c r="E5" s="46"/>
      <c r="F5" s="46"/>
      <c r="G5" s="46"/>
      <c r="H5" s="46"/>
      <c r="I5" s="46"/>
      <c r="J5" s="47"/>
    </row>
    <row r="6" spans="2:10">
      <c r="B6" s="44"/>
      <c r="C6" s="45"/>
      <c r="D6" s="46"/>
      <c r="E6" s="46"/>
      <c r="F6" s="46"/>
      <c r="G6" s="46"/>
      <c r="H6" s="46"/>
      <c r="I6" s="46"/>
      <c r="J6" s="47"/>
    </row>
    <row r="7" spans="2:10" ht="15.75" thickBot="1">
      <c r="B7" s="51" t="s">
        <v>454</v>
      </c>
      <c r="C7" s="48"/>
      <c r="D7" s="49"/>
      <c r="E7" s="49"/>
      <c r="F7" s="49"/>
      <c r="G7" s="49"/>
      <c r="H7" s="49"/>
      <c r="I7" s="49"/>
      <c r="J7" s="50"/>
    </row>
    <row r="9" spans="2:10">
      <c r="B9" s="1156" t="s">
        <v>0</v>
      </c>
      <c r="C9" s="1157" t="s">
        <v>1</v>
      </c>
      <c r="D9" s="1157"/>
      <c r="E9" s="1158" t="s">
        <v>2</v>
      </c>
    </row>
    <row r="10" spans="2:10" ht="15" customHeight="1">
      <c r="B10" s="2" t="s">
        <v>27</v>
      </c>
      <c r="C10" s="1055" t="s">
        <v>3</v>
      </c>
      <c r="D10" s="27" t="s">
        <v>4</v>
      </c>
      <c r="E10" s="1057" t="s">
        <v>492</v>
      </c>
    </row>
    <row r="11" spans="2:10">
      <c r="B11" s="2" t="s">
        <v>28</v>
      </c>
      <c r="C11" s="1056"/>
      <c r="D11" s="27" t="s">
        <v>5</v>
      </c>
      <c r="E11" s="1058"/>
    </row>
    <row r="12" spans="2:10">
      <c r="B12" s="2" t="s">
        <v>29</v>
      </c>
      <c r="C12" s="1056"/>
      <c r="D12" s="27" t="s">
        <v>6</v>
      </c>
      <c r="E12" s="1058"/>
    </row>
    <row r="13" spans="2:10">
      <c r="B13" s="2" t="s">
        <v>30</v>
      </c>
      <c r="C13" s="1056"/>
      <c r="D13" s="27" t="s">
        <v>7</v>
      </c>
      <c r="E13" s="1059"/>
    </row>
    <row r="14" spans="2:10">
      <c r="B14" s="2" t="s">
        <v>31</v>
      </c>
      <c r="C14" s="1060" t="s">
        <v>8</v>
      </c>
      <c r="D14" s="27" t="s">
        <v>9</v>
      </c>
      <c r="E14" s="38" t="s">
        <v>493</v>
      </c>
    </row>
    <row r="15" spans="2:10">
      <c r="B15" s="2" t="s">
        <v>32</v>
      </c>
      <c r="C15" s="1061"/>
      <c r="D15" s="27" t="s">
        <v>10</v>
      </c>
      <c r="E15" s="38" t="s">
        <v>494</v>
      </c>
    </row>
    <row r="16" spans="2:10" s="312" customFormat="1">
      <c r="B16" s="2" t="s">
        <v>1812</v>
      </c>
      <c r="C16" s="1062"/>
      <c r="D16" s="318" t="s">
        <v>1813</v>
      </c>
      <c r="E16" s="319"/>
    </row>
    <row r="17" spans="2:5">
      <c r="B17" s="2" t="s">
        <v>33</v>
      </c>
      <c r="C17" s="4" t="s">
        <v>11</v>
      </c>
      <c r="D17" s="28"/>
      <c r="E17" s="7"/>
    </row>
    <row r="18" spans="2:5" ht="39" customHeight="1">
      <c r="B18" s="2" t="s">
        <v>34</v>
      </c>
      <c r="C18" s="1055" t="s">
        <v>12</v>
      </c>
      <c r="D18" s="27" t="s">
        <v>13</v>
      </c>
      <c r="E18" s="39" t="s">
        <v>494</v>
      </c>
    </row>
    <row r="19" spans="2:5">
      <c r="B19" s="2" t="s">
        <v>35</v>
      </c>
      <c r="C19" s="1056"/>
      <c r="D19" s="27" t="s">
        <v>14</v>
      </c>
      <c r="E19" s="7"/>
    </row>
    <row r="20" spans="2:5">
      <c r="B20" s="2" t="s">
        <v>36</v>
      </c>
      <c r="C20" s="1055" t="s">
        <v>15</v>
      </c>
      <c r="D20" s="27" t="s">
        <v>16</v>
      </c>
      <c r="E20" s="7"/>
    </row>
    <row r="21" spans="2:5">
      <c r="B21" s="2" t="s">
        <v>37</v>
      </c>
      <c r="C21" s="1056"/>
      <c r="D21" s="27" t="s">
        <v>17</v>
      </c>
      <c r="E21" s="7"/>
    </row>
    <row r="22" spans="2:5">
      <c r="B22" s="2" t="s">
        <v>38</v>
      </c>
      <c r="C22" s="1056"/>
      <c r="D22" s="27" t="s">
        <v>18</v>
      </c>
      <c r="E22" s="7"/>
    </row>
    <row r="23" spans="2:5">
      <c r="B23" s="2" t="s">
        <v>39</v>
      </c>
      <c r="C23" s="1056"/>
      <c r="D23" s="27" t="s">
        <v>19</v>
      </c>
      <c r="E23" s="7"/>
    </row>
    <row r="24" spans="2:5">
      <c r="B24" s="2" t="s">
        <v>40</v>
      </c>
      <c r="C24" s="4" t="s">
        <v>20</v>
      </c>
      <c r="D24" s="5"/>
      <c r="E24" s="7"/>
    </row>
    <row r="25" spans="2:5">
      <c r="B25" s="2" t="s">
        <v>41</v>
      </c>
      <c r="C25" s="4" t="s">
        <v>21</v>
      </c>
      <c r="D25" s="28"/>
      <c r="E25" s="7"/>
    </row>
    <row r="26" spans="2:5" ht="51.75">
      <c r="B26" s="2" t="s">
        <v>42</v>
      </c>
      <c r="C26" s="6" t="s">
        <v>22</v>
      </c>
      <c r="D26" s="28"/>
      <c r="E26" s="7"/>
    </row>
    <row r="27" spans="2:5" ht="60" customHeight="1">
      <c r="B27" s="2" t="s">
        <v>43</v>
      </c>
      <c r="C27" s="1055" t="s">
        <v>23</v>
      </c>
      <c r="D27" s="27" t="s">
        <v>24</v>
      </c>
      <c r="E27" s="37" t="s">
        <v>1396</v>
      </c>
    </row>
    <row r="28" spans="2:5">
      <c r="B28" s="2" t="s">
        <v>44</v>
      </c>
      <c r="C28" s="1056"/>
      <c r="D28" s="27" t="s">
        <v>25</v>
      </c>
      <c r="E28" s="7"/>
    </row>
    <row r="29" spans="2:5" ht="26.25">
      <c r="B29" s="2" t="s">
        <v>45</v>
      </c>
      <c r="C29" s="7" t="s">
        <v>26</v>
      </c>
      <c r="D29" s="27"/>
      <c r="E29" s="7"/>
    </row>
  </sheetData>
  <mergeCells count="7">
    <mergeCell ref="C20:C23"/>
    <mergeCell ref="C27:C28"/>
    <mergeCell ref="E10:E13"/>
    <mergeCell ref="C9:D9"/>
    <mergeCell ref="C10:C13"/>
    <mergeCell ref="C18:C19"/>
    <mergeCell ref="C14:C1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sheetPr>
    <tabColor rgb="FF00B050"/>
  </sheetPr>
  <dimension ref="B2:J187"/>
  <sheetViews>
    <sheetView topLeftCell="A157" zoomScale="75" zoomScaleNormal="75" workbookViewId="0">
      <selection activeCell="C16" sqref="C16"/>
    </sheetView>
  </sheetViews>
  <sheetFormatPr baseColWidth="10" defaultRowHeight="15"/>
  <cols>
    <col min="1" max="1" width="2.5703125" customWidth="1"/>
    <col min="2" max="2" width="27.42578125" customWidth="1"/>
    <col min="3" max="3" width="27.42578125" style="236" customWidth="1"/>
    <col min="4" max="4" width="14.42578125" customWidth="1"/>
    <col min="5" max="6" width="15.5703125" customWidth="1"/>
    <col min="7" max="7" width="51.5703125" customWidth="1"/>
    <col min="8" max="8" width="19.7109375" customWidth="1"/>
    <col min="9" max="9" width="13.85546875" customWidth="1"/>
    <col min="10" max="10" width="35.28515625" customWidth="1"/>
  </cols>
  <sheetData>
    <row r="2" spans="2:10" ht="15.75" customHeight="1">
      <c r="B2" s="1064" t="s">
        <v>228</v>
      </c>
      <c r="C2" s="1066" t="s">
        <v>46</v>
      </c>
      <c r="D2" s="1065" t="s">
        <v>225</v>
      </c>
      <c r="E2" s="1063" t="s">
        <v>229</v>
      </c>
      <c r="F2" s="1063"/>
      <c r="G2" s="1063"/>
      <c r="H2" s="1063" t="s">
        <v>1895</v>
      </c>
      <c r="I2" s="1063"/>
      <c r="J2" s="1063"/>
    </row>
    <row r="3" spans="2:10" ht="56.25" customHeight="1">
      <c r="B3" s="1064"/>
      <c r="C3" s="1067"/>
      <c r="D3" s="1065"/>
      <c r="E3" s="55" t="s">
        <v>226</v>
      </c>
      <c r="F3" s="372" t="s">
        <v>227</v>
      </c>
      <c r="G3" s="55" t="s">
        <v>224</v>
      </c>
      <c r="H3" s="55" t="s">
        <v>226</v>
      </c>
      <c r="I3" s="372" t="s">
        <v>1894</v>
      </c>
      <c r="J3" s="55" t="s">
        <v>224</v>
      </c>
    </row>
    <row r="4" spans="2:10" ht="30">
      <c r="B4" s="757" t="s">
        <v>1788</v>
      </c>
      <c r="C4" s="377" t="s">
        <v>69</v>
      </c>
      <c r="D4" s="381" t="s">
        <v>27</v>
      </c>
      <c r="E4" s="381" t="s">
        <v>48</v>
      </c>
      <c r="F4" s="378">
        <v>0.05</v>
      </c>
      <c r="G4" s="382"/>
      <c r="H4" s="394" t="s">
        <v>1814</v>
      </c>
      <c r="I4" s="394">
        <v>0.1</v>
      </c>
      <c r="J4" s="394"/>
    </row>
    <row r="5" spans="2:10" s="312" customFormat="1" ht="30.75">
      <c r="B5" s="757" t="s">
        <v>1682</v>
      </c>
      <c r="C5" s="400" t="s">
        <v>415</v>
      </c>
      <c r="D5" s="397" t="s">
        <v>27</v>
      </c>
      <c r="E5" s="381" t="s">
        <v>48</v>
      </c>
      <c r="F5" s="607" t="s">
        <v>1387</v>
      </c>
      <c r="G5" s="608" t="s">
        <v>1815</v>
      </c>
      <c r="H5" s="393" t="s">
        <v>1814</v>
      </c>
      <c r="I5" s="394">
        <v>0.5</v>
      </c>
      <c r="J5" s="375" t="s">
        <v>1815</v>
      </c>
    </row>
    <row r="6" spans="2:10" s="312" customFormat="1" ht="15.75">
      <c r="B6" s="757" t="s">
        <v>1558</v>
      </c>
      <c r="C6" s="399" t="s">
        <v>369</v>
      </c>
      <c r="D6" s="397" t="s">
        <v>27</v>
      </c>
      <c r="E6" s="394"/>
      <c r="F6" s="394"/>
      <c r="G6" s="382"/>
      <c r="H6" s="394" t="s">
        <v>1816</v>
      </c>
      <c r="I6" s="394">
        <v>0.1</v>
      </c>
      <c r="J6" s="394"/>
    </row>
    <row r="7" spans="2:10" s="312" customFormat="1" ht="15.75">
      <c r="B7" s="757" t="s">
        <v>1777</v>
      </c>
      <c r="C7" s="400" t="s">
        <v>364</v>
      </c>
      <c r="D7" s="397" t="s">
        <v>27</v>
      </c>
      <c r="E7" s="394"/>
      <c r="F7" s="394"/>
      <c r="G7" s="382"/>
      <c r="H7" s="394">
        <v>101</v>
      </c>
      <c r="I7" s="394">
        <v>0.1</v>
      </c>
      <c r="J7" s="394"/>
    </row>
    <row r="8" spans="2:10" ht="15.75">
      <c r="B8" s="758" t="s">
        <v>1466</v>
      </c>
      <c r="C8" s="377" t="s">
        <v>47</v>
      </c>
      <c r="D8" s="378" t="s">
        <v>28</v>
      </c>
      <c r="E8" s="378" t="s">
        <v>48</v>
      </c>
      <c r="F8" s="378">
        <v>0.2</v>
      </c>
      <c r="G8" s="379"/>
      <c r="H8" s="394">
        <v>101</v>
      </c>
      <c r="I8" s="394">
        <v>0.1</v>
      </c>
      <c r="J8" s="394"/>
    </row>
    <row r="9" spans="2:10" ht="15.75">
      <c r="B9" s="758" t="s">
        <v>49</v>
      </c>
      <c r="C9" s="377" t="s">
        <v>50</v>
      </c>
      <c r="D9" s="378" t="s">
        <v>28</v>
      </c>
      <c r="E9" s="378" t="s">
        <v>48</v>
      </c>
      <c r="F9" s="378">
        <v>0.05</v>
      </c>
      <c r="G9" s="378"/>
      <c r="H9" s="394" t="s">
        <v>1814</v>
      </c>
      <c r="I9" s="394">
        <v>0.1</v>
      </c>
      <c r="J9" s="394"/>
    </row>
    <row r="10" spans="2:10" ht="30">
      <c r="B10" s="757" t="s">
        <v>51</v>
      </c>
      <c r="C10" s="378" t="s">
        <v>52</v>
      </c>
      <c r="D10" s="378" t="s">
        <v>28</v>
      </c>
      <c r="E10" s="378" t="s">
        <v>48</v>
      </c>
      <c r="F10" s="378">
        <v>0.05</v>
      </c>
      <c r="G10" s="378"/>
      <c r="H10" s="394">
        <v>101</v>
      </c>
      <c r="I10" s="394">
        <v>0.1</v>
      </c>
      <c r="J10" s="394"/>
    </row>
    <row r="11" spans="2:10" ht="15.75">
      <c r="B11" s="757" t="s">
        <v>53</v>
      </c>
      <c r="C11" s="378" t="s">
        <v>54</v>
      </c>
      <c r="D11" s="378" t="s">
        <v>28</v>
      </c>
      <c r="E11" s="378" t="s">
        <v>48</v>
      </c>
      <c r="F11" s="378">
        <v>0.2</v>
      </c>
      <c r="G11" s="378"/>
      <c r="H11" s="394" t="s">
        <v>1814</v>
      </c>
      <c r="I11" s="394">
        <v>0.1</v>
      </c>
      <c r="J11" s="394"/>
    </row>
    <row r="12" spans="2:10" ht="15.75">
      <c r="B12" s="758" t="s">
        <v>1511</v>
      </c>
      <c r="C12" s="377" t="s">
        <v>58</v>
      </c>
      <c r="D12" s="378" t="s">
        <v>28</v>
      </c>
      <c r="E12" s="378" t="s">
        <v>48</v>
      </c>
      <c r="F12" s="378">
        <v>0.05</v>
      </c>
      <c r="G12" s="379"/>
      <c r="H12" s="394" t="s">
        <v>1814</v>
      </c>
      <c r="I12" s="394">
        <v>0.1</v>
      </c>
      <c r="J12" s="394"/>
    </row>
    <row r="13" spans="2:10" ht="15.75">
      <c r="B13" s="757" t="s">
        <v>1600</v>
      </c>
      <c r="C13" s="378" t="s">
        <v>62</v>
      </c>
      <c r="D13" s="378" t="s">
        <v>28</v>
      </c>
      <c r="E13" s="378" t="s">
        <v>48</v>
      </c>
      <c r="F13" s="378">
        <v>0.05</v>
      </c>
      <c r="G13" s="379"/>
      <c r="H13" s="394">
        <v>101</v>
      </c>
      <c r="I13" s="394">
        <v>0.1</v>
      </c>
      <c r="J13" s="394"/>
    </row>
    <row r="14" spans="2:10" ht="15.75">
      <c r="B14" s="757" t="s">
        <v>1601</v>
      </c>
      <c r="C14" s="378" t="s">
        <v>63</v>
      </c>
      <c r="D14" s="378" t="s">
        <v>28</v>
      </c>
      <c r="E14" s="378" t="s">
        <v>48</v>
      </c>
      <c r="F14" s="378">
        <v>0.05</v>
      </c>
      <c r="G14" s="382"/>
      <c r="H14" s="394" t="s">
        <v>1814</v>
      </c>
      <c r="I14" s="394">
        <v>0.1</v>
      </c>
      <c r="J14" s="394"/>
    </row>
    <row r="15" spans="2:10" ht="15.75">
      <c r="B15" s="757" t="s">
        <v>1602</v>
      </c>
      <c r="C15" s="378" t="s">
        <v>64</v>
      </c>
      <c r="D15" s="378" t="s">
        <v>28</v>
      </c>
      <c r="E15" s="378" t="s">
        <v>48</v>
      </c>
      <c r="F15" s="378">
        <v>0.05</v>
      </c>
      <c r="G15" s="382"/>
      <c r="H15" s="394" t="s">
        <v>1814</v>
      </c>
      <c r="I15" s="394">
        <v>0.1</v>
      </c>
      <c r="J15" s="394"/>
    </row>
    <row r="16" spans="2:10" ht="15.75">
      <c r="B16" s="757" t="s">
        <v>1603</v>
      </c>
      <c r="C16" s="378" t="s">
        <v>65</v>
      </c>
      <c r="D16" s="378" t="s">
        <v>28</v>
      </c>
      <c r="E16" s="378" t="s">
        <v>48</v>
      </c>
      <c r="F16" s="378">
        <v>0.2</v>
      </c>
      <c r="G16" s="378"/>
      <c r="H16" s="394">
        <v>101</v>
      </c>
      <c r="I16" s="394">
        <v>0.1</v>
      </c>
      <c r="J16" s="394"/>
    </row>
    <row r="17" spans="2:10" ht="15.75">
      <c r="B17" s="757" t="s">
        <v>1612</v>
      </c>
      <c r="C17" s="377" t="s">
        <v>66</v>
      </c>
      <c r="D17" s="378" t="s">
        <v>28</v>
      </c>
      <c r="E17" s="378" t="s">
        <v>48</v>
      </c>
      <c r="F17" s="378">
        <v>0.05</v>
      </c>
      <c r="G17" s="378"/>
      <c r="H17" s="394" t="s">
        <v>1814</v>
      </c>
      <c r="I17" s="394">
        <v>0.1</v>
      </c>
      <c r="J17" s="394"/>
    </row>
    <row r="18" spans="2:10" ht="15.75">
      <c r="B18" s="757" t="s">
        <v>1613</v>
      </c>
      <c r="C18" s="378" t="s">
        <v>67</v>
      </c>
      <c r="D18" s="381" t="s">
        <v>28</v>
      </c>
      <c r="E18" s="378" t="s">
        <v>48</v>
      </c>
      <c r="F18" s="378">
        <v>0.05</v>
      </c>
      <c r="G18" s="382"/>
      <c r="H18" s="394">
        <v>101</v>
      </c>
      <c r="I18" s="394">
        <v>0.1</v>
      </c>
      <c r="J18" s="394"/>
    </row>
    <row r="19" spans="2:10" ht="15.75">
      <c r="B19" s="757" t="s">
        <v>1614</v>
      </c>
      <c r="C19" s="378" t="s">
        <v>68</v>
      </c>
      <c r="D19" s="378" t="s">
        <v>28</v>
      </c>
      <c r="E19" s="378" t="s">
        <v>48</v>
      </c>
      <c r="F19" s="378">
        <v>0.2</v>
      </c>
      <c r="G19" s="378"/>
      <c r="H19" s="394">
        <v>101</v>
      </c>
      <c r="I19" s="394">
        <v>0.1</v>
      </c>
      <c r="J19" s="394"/>
    </row>
    <row r="20" spans="2:10" ht="15.75">
      <c r="B20" s="757" t="s">
        <v>1636</v>
      </c>
      <c r="C20" s="378" t="s">
        <v>70</v>
      </c>
      <c r="D20" s="378" t="s">
        <v>28</v>
      </c>
      <c r="E20" s="378" t="s">
        <v>48</v>
      </c>
      <c r="F20" s="378">
        <v>0.05</v>
      </c>
      <c r="G20" s="382"/>
      <c r="H20" s="394" t="s">
        <v>1814</v>
      </c>
      <c r="I20" s="394">
        <v>0.1</v>
      </c>
      <c r="J20" s="394"/>
    </row>
    <row r="21" spans="2:10" ht="15.75">
      <c r="B21" s="757" t="s">
        <v>1479</v>
      </c>
      <c r="C21" s="378" t="s">
        <v>71</v>
      </c>
      <c r="D21" s="378" t="s">
        <v>28</v>
      </c>
      <c r="E21" s="378" t="s">
        <v>48</v>
      </c>
      <c r="F21" s="378">
        <v>0.05</v>
      </c>
      <c r="G21" s="378"/>
      <c r="H21" s="394" t="s">
        <v>1814</v>
      </c>
      <c r="I21" s="394">
        <v>0.1</v>
      </c>
      <c r="J21" s="394"/>
    </row>
    <row r="22" spans="2:10" ht="15.75">
      <c r="B22" s="757" t="s">
        <v>1483</v>
      </c>
      <c r="C22" s="377" t="s">
        <v>72</v>
      </c>
      <c r="D22" s="378" t="s">
        <v>28</v>
      </c>
      <c r="E22" s="378" t="s">
        <v>48</v>
      </c>
      <c r="F22" s="378">
        <v>0.05</v>
      </c>
      <c r="G22" s="378"/>
      <c r="H22" s="394" t="s">
        <v>1814</v>
      </c>
      <c r="I22" s="394">
        <v>0.1</v>
      </c>
      <c r="J22" s="394"/>
    </row>
    <row r="23" spans="2:10" ht="15.75">
      <c r="B23" s="757" t="s">
        <v>1484</v>
      </c>
      <c r="C23" s="378" t="s">
        <v>73</v>
      </c>
      <c r="D23" s="378" t="s">
        <v>28</v>
      </c>
      <c r="E23" s="378" t="s">
        <v>48</v>
      </c>
      <c r="F23" s="378">
        <v>0.05</v>
      </c>
      <c r="G23" s="378"/>
      <c r="H23" s="394" t="s">
        <v>1814</v>
      </c>
      <c r="I23" s="394">
        <v>0.1</v>
      </c>
      <c r="J23" s="394"/>
    </row>
    <row r="24" spans="2:10" ht="15.75">
      <c r="B24" s="757" t="s">
        <v>1468</v>
      </c>
      <c r="C24" s="378" t="s">
        <v>74</v>
      </c>
      <c r="D24" s="378" t="s">
        <v>28</v>
      </c>
      <c r="E24" s="378" t="s">
        <v>48</v>
      </c>
      <c r="F24" s="378">
        <v>0.2</v>
      </c>
      <c r="G24" s="379"/>
      <c r="H24" s="394" t="s">
        <v>1814</v>
      </c>
      <c r="I24" s="394">
        <v>0.1</v>
      </c>
      <c r="J24" s="394"/>
    </row>
    <row r="25" spans="2:10" ht="30">
      <c r="B25" s="742" t="s">
        <v>1663</v>
      </c>
      <c r="C25" s="287" t="s">
        <v>337</v>
      </c>
      <c r="D25" s="10" t="s">
        <v>28</v>
      </c>
      <c r="E25" s="10">
        <v>2</v>
      </c>
      <c r="F25" s="378" t="s">
        <v>1387</v>
      </c>
      <c r="G25" s="383"/>
      <c r="H25" s="394">
        <v>119</v>
      </c>
      <c r="I25" s="394">
        <v>0.5</v>
      </c>
      <c r="J25" s="394"/>
    </row>
    <row r="26" spans="2:10" ht="15.75">
      <c r="B26" s="757" t="s">
        <v>1681</v>
      </c>
      <c r="C26" s="378" t="s">
        <v>77</v>
      </c>
      <c r="D26" s="378" t="s">
        <v>28</v>
      </c>
      <c r="E26" s="378" t="s">
        <v>78</v>
      </c>
      <c r="F26" s="378">
        <v>0.05</v>
      </c>
      <c r="G26" s="378"/>
      <c r="H26" s="394" t="s">
        <v>1814</v>
      </c>
      <c r="I26" s="394">
        <v>0.1</v>
      </c>
      <c r="J26" s="394"/>
    </row>
    <row r="27" spans="2:10" ht="15.75">
      <c r="B27" s="757" t="s">
        <v>1471</v>
      </c>
      <c r="C27" s="378" t="s">
        <v>85</v>
      </c>
      <c r="D27" s="378" t="s">
        <v>28</v>
      </c>
      <c r="E27" s="378" t="s">
        <v>48</v>
      </c>
      <c r="F27" s="378">
        <v>0.05</v>
      </c>
      <c r="G27" s="378"/>
      <c r="H27" s="394" t="s">
        <v>1814</v>
      </c>
      <c r="I27" s="394">
        <v>0.1</v>
      </c>
      <c r="J27" s="394"/>
    </row>
    <row r="28" spans="2:10" ht="15.75">
      <c r="B28" s="757" t="s">
        <v>1472</v>
      </c>
      <c r="C28" s="378" t="s">
        <v>86</v>
      </c>
      <c r="D28" s="378" t="s">
        <v>28</v>
      </c>
      <c r="E28" s="378" t="s">
        <v>78</v>
      </c>
      <c r="F28" s="378">
        <v>0.05</v>
      </c>
      <c r="G28" s="378"/>
      <c r="H28" s="394" t="s">
        <v>1814</v>
      </c>
      <c r="I28" s="394">
        <v>0.1</v>
      </c>
      <c r="J28" s="394"/>
    </row>
    <row r="29" spans="2:10" ht="15.75">
      <c r="B29" s="757" t="s">
        <v>1480</v>
      </c>
      <c r="C29" s="378" t="s">
        <v>87</v>
      </c>
      <c r="D29" s="378" t="s">
        <v>28</v>
      </c>
      <c r="E29" s="378" t="s">
        <v>78</v>
      </c>
      <c r="F29" s="378">
        <v>0.05</v>
      </c>
      <c r="G29" s="378"/>
      <c r="H29" s="394" t="s">
        <v>1814</v>
      </c>
      <c r="I29" s="394">
        <v>0.1</v>
      </c>
      <c r="J29" s="394"/>
    </row>
    <row r="30" spans="2:10" s="340" customFormat="1" ht="15.75">
      <c r="B30" s="600" t="s">
        <v>1467</v>
      </c>
      <c r="C30" s="378" t="s">
        <v>338</v>
      </c>
      <c r="D30" s="397" t="s">
        <v>28</v>
      </c>
      <c r="E30" s="394" t="s">
        <v>48</v>
      </c>
      <c r="F30" s="394">
        <v>0.05</v>
      </c>
      <c r="G30" s="394"/>
      <c r="H30" s="394" t="s">
        <v>1816</v>
      </c>
      <c r="I30" s="394">
        <v>0.1</v>
      </c>
      <c r="J30" s="394"/>
    </row>
    <row r="31" spans="2:10" s="340" customFormat="1" ht="15.75">
      <c r="B31" s="757" t="s">
        <v>1477</v>
      </c>
      <c r="C31" s="400" t="s">
        <v>361</v>
      </c>
      <c r="D31" s="398" t="s">
        <v>28</v>
      </c>
      <c r="E31" s="393" t="s">
        <v>48</v>
      </c>
      <c r="F31" s="393">
        <v>0.05</v>
      </c>
      <c r="G31" s="394"/>
      <c r="H31" s="394" t="s">
        <v>1816</v>
      </c>
      <c r="I31" s="394">
        <v>0.1</v>
      </c>
      <c r="J31" s="394"/>
    </row>
    <row r="32" spans="2:10" s="340" customFormat="1" ht="15.75">
      <c r="B32" s="757" t="s">
        <v>1531</v>
      </c>
      <c r="C32" s="400" t="s">
        <v>362</v>
      </c>
      <c r="D32" s="398" t="s">
        <v>28</v>
      </c>
      <c r="E32" s="393" t="s">
        <v>48</v>
      </c>
      <c r="F32" s="393">
        <v>0.05</v>
      </c>
      <c r="G32" s="394"/>
      <c r="H32" s="394" t="s">
        <v>1816</v>
      </c>
      <c r="I32" s="394">
        <v>0.1</v>
      </c>
      <c r="J32" s="394"/>
    </row>
    <row r="33" spans="2:10" s="340" customFormat="1" ht="15.75">
      <c r="B33" s="757" t="s">
        <v>1523</v>
      </c>
      <c r="C33" s="400" t="s">
        <v>374</v>
      </c>
      <c r="D33" s="398" t="s">
        <v>28</v>
      </c>
      <c r="E33" s="393"/>
      <c r="F33" s="393"/>
      <c r="G33" s="394"/>
      <c r="H33" s="394" t="s">
        <v>1816</v>
      </c>
      <c r="I33" s="394">
        <v>0.1</v>
      </c>
      <c r="J33" s="394"/>
    </row>
    <row r="34" spans="2:10" ht="15.75">
      <c r="B34" s="757" t="s">
        <v>1532</v>
      </c>
      <c r="C34" s="378" t="s">
        <v>56</v>
      </c>
      <c r="D34" s="385" t="s">
        <v>29</v>
      </c>
      <c r="E34" s="378" t="s">
        <v>48</v>
      </c>
      <c r="F34" s="378">
        <v>0.2</v>
      </c>
      <c r="G34" s="379"/>
      <c r="H34" s="394"/>
      <c r="I34" s="394"/>
      <c r="J34" s="394"/>
    </row>
    <row r="35" spans="2:10" ht="15.75">
      <c r="B35" s="757" t="s">
        <v>1546</v>
      </c>
      <c r="C35" s="378" t="s">
        <v>57</v>
      </c>
      <c r="D35" s="385" t="s">
        <v>29</v>
      </c>
      <c r="E35" s="378" t="s">
        <v>48</v>
      </c>
      <c r="F35" s="378">
        <v>0.2</v>
      </c>
      <c r="G35" s="380"/>
      <c r="H35" s="394"/>
      <c r="I35" s="394"/>
      <c r="J35" s="394"/>
    </row>
    <row r="36" spans="2:10" ht="30">
      <c r="B36" s="757" t="s">
        <v>1563</v>
      </c>
      <c r="C36" s="378" t="s">
        <v>59</v>
      </c>
      <c r="D36" s="385" t="s">
        <v>29</v>
      </c>
      <c r="E36" s="381" t="s">
        <v>48</v>
      </c>
      <c r="F36" s="378" t="s">
        <v>1387</v>
      </c>
      <c r="G36" s="378"/>
      <c r="H36" s="394"/>
      <c r="I36" s="394"/>
      <c r="J36" s="394"/>
    </row>
    <row r="37" spans="2:10" ht="15.75">
      <c r="B37" s="757" t="s">
        <v>1562</v>
      </c>
      <c r="C37" s="378" t="s">
        <v>60</v>
      </c>
      <c r="D37" s="385" t="s">
        <v>29</v>
      </c>
      <c r="E37" s="378" t="s">
        <v>48</v>
      </c>
      <c r="F37" s="378">
        <v>0.2</v>
      </c>
      <c r="G37" s="379"/>
      <c r="H37" s="394"/>
      <c r="I37" s="394"/>
      <c r="J37" s="394"/>
    </row>
    <row r="38" spans="2:10" ht="15.75">
      <c r="B38" s="742" t="s">
        <v>1548</v>
      </c>
      <c r="C38" s="378" t="s">
        <v>79</v>
      </c>
      <c r="D38" s="385" t="s">
        <v>29</v>
      </c>
      <c r="E38" s="378" t="s">
        <v>48</v>
      </c>
      <c r="F38" s="378">
        <v>0.2</v>
      </c>
      <c r="G38" s="379"/>
      <c r="H38" s="394"/>
      <c r="I38" s="394"/>
      <c r="J38" s="394"/>
    </row>
    <row r="39" spans="2:10" ht="30">
      <c r="B39" s="757" t="s">
        <v>1705</v>
      </c>
      <c r="C39" s="378" t="s">
        <v>80</v>
      </c>
      <c r="D39" s="385" t="s">
        <v>29</v>
      </c>
      <c r="E39" s="381" t="s">
        <v>48</v>
      </c>
      <c r="F39" s="378" t="s">
        <v>1387</v>
      </c>
      <c r="G39" s="379"/>
      <c r="H39" s="394"/>
      <c r="I39" s="394"/>
      <c r="J39" s="394"/>
    </row>
    <row r="40" spans="2:10" ht="15.75">
      <c r="B40" s="757" t="s">
        <v>1728</v>
      </c>
      <c r="C40" s="378" t="s">
        <v>81</v>
      </c>
      <c r="D40" s="385" t="s">
        <v>29</v>
      </c>
      <c r="E40" s="378" t="s">
        <v>48</v>
      </c>
      <c r="F40" s="378">
        <v>0.2</v>
      </c>
      <c r="G40" s="378"/>
      <c r="H40" s="394"/>
      <c r="I40" s="394"/>
      <c r="J40" s="394"/>
    </row>
    <row r="41" spans="2:10" ht="15.75">
      <c r="B41" s="757" t="s">
        <v>1776</v>
      </c>
      <c r="C41" s="378" t="s">
        <v>84</v>
      </c>
      <c r="D41" s="385" t="s">
        <v>29</v>
      </c>
      <c r="E41" s="378" t="s">
        <v>48</v>
      </c>
      <c r="F41" s="378">
        <v>0.2</v>
      </c>
      <c r="G41" s="378"/>
      <c r="H41" s="394"/>
      <c r="I41" s="394"/>
      <c r="J41" s="394"/>
    </row>
    <row r="42" spans="2:10" ht="15.75">
      <c r="B42" s="757" t="s">
        <v>1676</v>
      </c>
      <c r="C42" s="378" t="s">
        <v>119</v>
      </c>
      <c r="D42" s="385" t="s">
        <v>29</v>
      </c>
      <c r="E42" s="378">
        <v>20</v>
      </c>
      <c r="F42" s="378">
        <v>0.46400000000000002</v>
      </c>
      <c r="G42" s="379"/>
      <c r="H42" s="394">
        <v>113</v>
      </c>
      <c r="I42" s="394">
        <v>20</v>
      </c>
      <c r="J42" s="394"/>
    </row>
    <row r="43" spans="2:10" ht="15.75">
      <c r="B43" s="757" t="s">
        <v>1560</v>
      </c>
      <c r="C43" s="378" t="s">
        <v>120</v>
      </c>
      <c r="D43" s="385" t="s">
        <v>29</v>
      </c>
      <c r="E43" s="378">
        <v>20</v>
      </c>
      <c r="F43" s="378">
        <v>2.2040000000000002</v>
      </c>
      <c r="G43" s="379"/>
      <c r="H43" s="394">
        <v>113</v>
      </c>
      <c r="I43" s="394">
        <v>130</v>
      </c>
      <c r="J43" s="394"/>
    </row>
    <row r="44" spans="2:10" ht="15.75">
      <c r="B44" s="758" t="s">
        <v>1639</v>
      </c>
      <c r="C44" s="378" t="s">
        <v>75</v>
      </c>
      <c r="D44" s="385" t="s">
        <v>29</v>
      </c>
      <c r="E44" s="378" t="s">
        <v>48</v>
      </c>
      <c r="F44" s="378">
        <v>0.2</v>
      </c>
      <c r="G44" s="378"/>
      <c r="H44" s="394"/>
      <c r="I44" s="394"/>
      <c r="J44" s="394"/>
    </row>
    <row r="45" spans="2:10" s="368" customFormat="1" ht="30">
      <c r="B45" s="760" t="s">
        <v>1891</v>
      </c>
      <c r="C45" s="393" t="s">
        <v>1892</v>
      </c>
      <c r="D45" s="398" t="s">
        <v>1893</v>
      </c>
      <c r="E45" s="393">
        <v>22</v>
      </c>
      <c r="F45" s="378" t="s">
        <v>1387</v>
      </c>
      <c r="G45" s="396"/>
      <c r="H45" s="394">
        <v>117</v>
      </c>
      <c r="I45" s="394">
        <v>0.05</v>
      </c>
      <c r="J45" s="396"/>
    </row>
    <row r="46" spans="2:10" ht="15.75">
      <c r="B46" s="757" t="s">
        <v>1623</v>
      </c>
      <c r="C46" s="378" t="s">
        <v>88</v>
      </c>
      <c r="D46" s="385" t="s">
        <v>31</v>
      </c>
      <c r="E46" s="378">
        <v>3</v>
      </c>
      <c r="F46" s="378">
        <v>0.1</v>
      </c>
      <c r="G46" s="378"/>
      <c r="H46" s="393">
        <v>103</v>
      </c>
      <c r="I46" s="393">
        <v>0.15</v>
      </c>
      <c r="J46" s="393"/>
    </row>
    <row r="47" spans="2:10" ht="15.75">
      <c r="B47" s="757" t="s">
        <v>1622</v>
      </c>
      <c r="C47" s="378" t="s">
        <v>89</v>
      </c>
      <c r="D47" s="385" t="s">
        <v>31</v>
      </c>
      <c r="E47" s="378">
        <v>3</v>
      </c>
      <c r="F47" s="378">
        <v>0.1</v>
      </c>
      <c r="G47" s="378"/>
      <c r="H47" s="393">
        <v>103</v>
      </c>
      <c r="I47" s="393">
        <v>0.15</v>
      </c>
      <c r="J47" s="393"/>
    </row>
    <row r="48" spans="2:10" ht="15.75">
      <c r="B48" s="757" t="s">
        <v>1621</v>
      </c>
      <c r="C48" s="378" t="s">
        <v>90</v>
      </c>
      <c r="D48" s="385" t="s">
        <v>31</v>
      </c>
      <c r="E48" s="378">
        <v>3</v>
      </c>
      <c r="F48" s="378">
        <v>0.1</v>
      </c>
      <c r="G48" s="378"/>
      <c r="H48" s="393">
        <v>103</v>
      </c>
      <c r="I48" s="393">
        <v>0.15</v>
      </c>
      <c r="J48" s="393"/>
    </row>
    <row r="49" spans="2:10" s="370" customFormat="1" ht="15.75">
      <c r="B49" s="757" t="s">
        <v>1896</v>
      </c>
      <c r="C49" s="377" t="s">
        <v>340</v>
      </c>
      <c r="D49" s="385" t="s">
        <v>31</v>
      </c>
      <c r="E49" s="393">
        <v>3</v>
      </c>
      <c r="F49" s="393">
        <v>0.3</v>
      </c>
      <c r="G49" s="393" t="s">
        <v>1897</v>
      </c>
      <c r="H49" s="393">
        <v>103</v>
      </c>
      <c r="I49" s="393">
        <v>0.44999999999999996</v>
      </c>
      <c r="J49" s="393" t="s">
        <v>1897</v>
      </c>
    </row>
    <row r="50" spans="2:10" s="374" customFormat="1" ht="15.75">
      <c r="B50" s="757" t="s">
        <v>1512</v>
      </c>
      <c r="C50" s="400" t="s">
        <v>395</v>
      </c>
      <c r="D50" s="397" t="s">
        <v>31</v>
      </c>
      <c r="E50" s="394">
        <v>3</v>
      </c>
      <c r="F50" s="394">
        <v>0.1</v>
      </c>
      <c r="G50" s="394"/>
      <c r="H50" s="394">
        <v>103</v>
      </c>
      <c r="I50" s="394"/>
      <c r="J50" s="394"/>
    </row>
    <row r="51" spans="2:10" s="374" customFormat="1" ht="15.75">
      <c r="B51" s="757" t="s">
        <v>1519</v>
      </c>
      <c r="C51" s="400" t="s">
        <v>393</v>
      </c>
      <c r="D51" s="397" t="s">
        <v>31</v>
      </c>
      <c r="E51" s="394">
        <v>3</v>
      </c>
      <c r="F51" s="394">
        <v>0.1</v>
      </c>
      <c r="G51" s="394"/>
      <c r="H51" s="394">
        <v>103</v>
      </c>
      <c r="I51" s="394"/>
      <c r="J51" s="394"/>
    </row>
    <row r="52" spans="2:10" s="374" customFormat="1" ht="15.75">
      <c r="B52" s="757" t="s">
        <v>1526</v>
      </c>
      <c r="C52" s="399" t="s">
        <v>391</v>
      </c>
      <c r="D52" s="397" t="s">
        <v>31</v>
      </c>
      <c r="E52" s="394">
        <v>3</v>
      </c>
      <c r="F52" s="394">
        <v>0.1</v>
      </c>
      <c r="G52" s="394"/>
      <c r="H52" s="394">
        <v>103</v>
      </c>
      <c r="I52" s="394"/>
      <c r="J52" s="394"/>
    </row>
    <row r="53" spans="2:10" s="374" customFormat="1" ht="15.75">
      <c r="B53" s="757" t="s">
        <v>1537</v>
      </c>
      <c r="C53" s="377" t="s">
        <v>342</v>
      </c>
      <c r="D53" s="397" t="s">
        <v>31</v>
      </c>
      <c r="E53" s="394">
        <v>3</v>
      </c>
      <c r="F53" s="394">
        <v>0.1</v>
      </c>
      <c r="G53" s="394"/>
      <c r="H53" s="394">
        <v>103</v>
      </c>
      <c r="I53" s="394"/>
      <c r="J53" s="394"/>
    </row>
    <row r="54" spans="2:10" ht="15.75">
      <c r="B54" s="757" t="s">
        <v>1543</v>
      </c>
      <c r="C54" s="378" t="s">
        <v>91</v>
      </c>
      <c r="D54" s="385" t="s">
        <v>31</v>
      </c>
      <c r="E54" s="378">
        <v>3</v>
      </c>
      <c r="F54" s="378">
        <v>0.1</v>
      </c>
      <c r="G54" s="378"/>
      <c r="H54" s="393">
        <v>103</v>
      </c>
      <c r="I54" s="393">
        <v>0.15</v>
      </c>
      <c r="J54" s="393"/>
    </row>
    <row r="55" spans="2:10" ht="15.75">
      <c r="B55" s="757" t="s">
        <v>1544</v>
      </c>
      <c r="C55" s="378" t="s">
        <v>92</v>
      </c>
      <c r="D55" s="385" t="s">
        <v>31</v>
      </c>
      <c r="E55" s="378">
        <v>3</v>
      </c>
      <c r="F55" s="378">
        <v>0.1</v>
      </c>
      <c r="G55" s="379"/>
      <c r="H55" s="393">
        <v>103</v>
      </c>
      <c r="I55" s="393">
        <v>0.15</v>
      </c>
      <c r="J55" s="393"/>
    </row>
    <row r="56" spans="2:10" ht="30">
      <c r="B56" s="757" t="s">
        <v>1545</v>
      </c>
      <c r="C56" s="378" t="s">
        <v>93</v>
      </c>
      <c r="D56" s="385" t="s">
        <v>31</v>
      </c>
      <c r="E56" s="378">
        <v>3</v>
      </c>
      <c r="F56" s="378">
        <v>0.1</v>
      </c>
      <c r="G56" s="385"/>
      <c r="H56" s="393">
        <v>103</v>
      </c>
      <c r="I56" s="378" t="s">
        <v>1387</v>
      </c>
      <c r="J56" s="393"/>
    </row>
    <row r="57" spans="2:10" s="374" customFormat="1" ht="15.75">
      <c r="B57" s="757" t="s">
        <v>1552</v>
      </c>
      <c r="C57" s="399" t="s">
        <v>390</v>
      </c>
      <c r="D57" s="397" t="s">
        <v>31</v>
      </c>
      <c r="E57" s="394">
        <v>3</v>
      </c>
      <c r="F57" s="394">
        <v>0.1</v>
      </c>
      <c r="G57" s="394"/>
      <c r="H57" s="394">
        <v>103</v>
      </c>
      <c r="I57" s="394"/>
      <c r="J57" s="394"/>
    </row>
    <row r="58" spans="2:10" ht="30">
      <c r="B58" s="757" t="s">
        <v>1515</v>
      </c>
      <c r="C58" s="378" t="s">
        <v>94</v>
      </c>
      <c r="D58" s="385" t="s">
        <v>31</v>
      </c>
      <c r="E58" s="378">
        <v>3</v>
      </c>
      <c r="F58" s="378">
        <v>0.1</v>
      </c>
      <c r="G58" s="385"/>
      <c r="H58" s="393">
        <v>103</v>
      </c>
      <c r="I58" s="378" t="s">
        <v>1387</v>
      </c>
      <c r="J58" s="393"/>
    </row>
    <row r="59" spans="2:10" s="374" customFormat="1" ht="30.75">
      <c r="B59" s="759" t="s">
        <v>1559</v>
      </c>
      <c r="C59" s="400" t="s">
        <v>425</v>
      </c>
      <c r="D59" s="397" t="s">
        <v>31</v>
      </c>
      <c r="E59" s="393">
        <v>24</v>
      </c>
      <c r="F59" s="369" t="s">
        <v>1387</v>
      </c>
      <c r="G59" s="394"/>
      <c r="H59" s="394">
        <v>104</v>
      </c>
      <c r="I59" s="394">
        <v>0.03</v>
      </c>
      <c r="J59" s="394"/>
    </row>
    <row r="60" spans="2:10" s="374" customFormat="1" ht="15.75">
      <c r="B60" s="757" t="s">
        <v>1779</v>
      </c>
      <c r="C60" s="400" t="s">
        <v>400</v>
      </c>
      <c r="D60" s="397" t="s">
        <v>31</v>
      </c>
      <c r="E60" s="394">
        <v>3</v>
      </c>
      <c r="F60" s="394"/>
      <c r="G60" s="394"/>
      <c r="H60" s="394">
        <v>103</v>
      </c>
      <c r="I60" s="394"/>
      <c r="J60" s="394"/>
    </row>
    <row r="61" spans="2:10" ht="15.75">
      <c r="B61" s="757" t="s">
        <v>1510</v>
      </c>
      <c r="C61" s="378" t="s">
        <v>95</v>
      </c>
      <c r="D61" s="378" t="s">
        <v>32</v>
      </c>
      <c r="E61" s="378">
        <v>3</v>
      </c>
      <c r="F61" s="378">
        <v>0.1</v>
      </c>
      <c r="G61" s="378"/>
      <c r="H61" s="394">
        <v>103</v>
      </c>
      <c r="I61" s="394">
        <v>0.1</v>
      </c>
      <c r="J61" s="394"/>
    </row>
    <row r="62" spans="2:10" ht="15.75">
      <c r="B62" s="757" t="s">
        <v>1518</v>
      </c>
      <c r="C62" s="378" t="s">
        <v>96</v>
      </c>
      <c r="D62" s="378" t="s">
        <v>32</v>
      </c>
      <c r="E62" s="378">
        <v>3</v>
      </c>
      <c r="F62" s="378">
        <v>0.1</v>
      </c>
      <c r="G62" s="379"/>
      <c r="H62" s="394">
        <v>103</v>
      </c>
      <c r="I62" s="394">
        <v>0.1</v>
      </c>
      <c r="J62" s="394"/>
    </row>
    <row r="63" spans="2:10" ht="15.75">
      <c r="B63" s="757" t="s">
        <v>1522</v>
      </c>
      <c r="C63" s="378" t="s">
        <v>97</v>
      </c>
      <c r="D63" s="378" t="s">
        <v>32</v>
      </c>
      <c r="E63" s="378">
        <v>3</v>
      </c>
      <c r="F63" s="378">
        <v>0.1</v>
      </c>
      <c r="G63" s="379"/>
      <c r="H63" s="394">
        <v>103</v>
      </c>
      <c r="I63" s="394">
        <v>0.1</v>
      </c>
      <c r="J63" s="394"/>
    </row>
    <row r="64" spans="2:10" ht="90">
      <c r="B64" s="757" t="s">
        <v>1499</v>
      </c>
      <c r="C64" s="378" t="s">
        <v>98</v>
      </c>
      <c r="D64" s="378" t="s">
        <v>32</v>
      </c>
      <c r="E64" s="378">
        <v>3</v>
      </c>
      <c r="F64" s="378">
        <v>0.1</v>
      </c>
      <c r="G64" s="386" t="s">
        <v>1398</v>
      </c>
      <c r="H64" s="394">
        <v>103</v>
      </c>
      <c r="I64" s="394">
        <v>0.1</v>
      </c>
      <c r="J64" s="395" t="s">
        <v>1398</v>
      </c>
    </row>
    <row r="65" spans="2:10" ht="15.75">
      <c r="B65" s="757" t="s">
        <v>1505</v>
      </c>
      <c r="C65" s="378" t="s">
        <v>99</v>
      </c>
      <c r="D65" s="378" t="s">
        <v>32</v>
      </c>
      <c r="E65" s="378">
        <v>3</v>
      </c>
      <c r="F65" s="378">
        <v>0.1</v>
      </c>
      <c r="G65" s="386"/>
      <c r="H65" s="394">
        <v>103</v>
      </c>
      <c r="I65" s="394">
        <v>0.1</v>
      </c>
      <c r="J65" s="394"/>
    </row>
    <row r="66" spans="2:10" ht="15.75">
      <c r="B66" s="757" t="s">
        <v>1514</v>
      </c>
      <c r="C66" s="378" t="s">
        <v>100</v>
      </c>
      <c r="D66" s="378" t="s">
        <v>32</v>
      </c>
      <c r="E66" s="378">
        <v>3</v>
      </c>
      <c r="F66" s="378">
        <v>0.1</v>
      </c>
      <c r="G66" s="378"/>
      <c r="H66" s="394">
        <v>103</v>
      </c>
      <c r="I66" s="394">
        <v>0.1</v>
      </c>
      <c r="J66" s="394"/>
    </row>
    <row r="67" spans="2:10" ht="15.75">
      <c r="B67" s="757" t="s">
        <v>1516</v>
      </c>
      <c r="C67" s="378" t="s">
        <v>101</v>
      </c>
      <c r="D67" s="378" t="s">
        <v>32</v>
      </c>
      <c r="E67" s="378">
        <v>3</v>
      </c>
      <c r="F67" s="378">
        <v>0.1</v>
      </c>
      <c r="G67" s="378"/>
      <c r="H67" s="394">
        <v>103</v>
      </c>
      <c r="I67" s="394">
        <v>0.1</v>
      </c>
      <c r="J67" s="394"/>
    </row>
    <row r="68" spans="2:10" ht="15.75">
      <c r="B68" s="757" t="s">
        <v>1490</v>
      </c>
      <c r="C68" s="378" t="s">
        <v>102</v>
      </c>
      <c r="D68" s="378" t="s">
        <v>32</v>
      </c>
      <c r="E68" s="378">
        <v>3</v>
      </c>
      <c r="F68" s="378">
        <v>0.1</v>
      </c>
      <c r="G68" s="378"/>
      <c r="H68" s="394">
        <v>103</v>
      </c>
      <c r="I68" s="394">
        <v>0.1</v>
      </c>
      <c r="J68" s="394"/>
    </row>
    <row r="69" spans="2:10" ht="15.75">
      <c r="B69" s="757" t="s">
        <v>1491</v>
      </c>
      <c r="C69" s="378" t="s">
        <v>103</v>
      </c>
      <c r="D69" s="378" t="s">
        <v>32</v>
      </c>
      <c r="E69" s="378">
        <v>3</v>
      </c>
      <c r="F69" s="378">
        <v>0.1</v>
      </c>
      <c r="G69" s="378"/>
      <c r="H69" s="394">
        <v>103</v>
      </c>
      <c r="I69" s="394">
        <v>0.1</v>
      </c>
      <c r="J69" s="394"/>
    </row>
    <row r="70" spans="2:10" ht="15.75">
      <c r="B70" s="757" t="s">
        <v>1495</v>
      </c>
      <c r="C70" s="378" t="s">
        <v>104</v>
      </c>
      <c r="D70" s="378" t="s">
        <v>32</v>
      </c>
      <c r="E70" s="378">
        <v>3</v>
      </c>
      <c r="F70" s="378">
        <v>0.1</v>
      </c>
      <c r="G70" s="378"/>
      <c r="H70" s="394">
        <v>103</v>
      </c>
      <c r="I70" s="394">
        <v>0.1</v>
      </c>
      <c r="J70" s="394"/>
    </row>
    <row r="71" spans="2:10" ht="15.75">
      <c r="B71" s="757" t="s">
        <v>1496</v>
      </c>
      <c r="C71" s="378" t="s">
        <v>105</v>
      </c>
      <c r="D71" s="378" t="s">
        <v>32</v>
      </c>
      <c r="E71" s="378">
        <v>3</v>
      </c>
      <c r="F71" s="378">
        <v>0.1</v>
      </c>
      <c r="G71" s="385"/>
      <c r="H71" s="394">
        <v>103</v>
      </c>
      <c r="I71" s="394">
        <v>0.1</v>
      </c>
      <c r="J71" s="394"/>
    </row>
    <row r="72" spans="2:10" ht="15.75">
      <c r="B72" s="757" t="s">
        <v>1513</v>
      </c>
      <c r="C72" s="378" t="s">
        <v>106</v>
      </c>
      <c r="D72" s="378" t="s">
        <v>32</v>
      </c>
      <c r="E72" s="378">
        <v>3</v>
      </c>
      <c r="F72" s="378">
        <v>0.1</v>
      </c>
      <c r="G72" s="378"/>
      <c r="H72" s="394">
        <v>103</v>
      </c>
      <c r="I72" s="394">
        <v>0.1</v>
      </c>
      <c r="J72" s="394"/>
    </row>
    <row r="73" spans="2:10" ht="15.75">
      <c r="B73" s="757" t="s">
        <v>1487</v>
      </c>
      <c r="C73" s="378" t="s">
        <v>107</v>
      </c>
      <c r="D73" s="378" t="s">
        <v>32</v>
      </c>
      <c r="E73" s="378">
        <v>3</v>
      </c>
      <c r="F73" s="378">
        <v>0.1</v>
      </c>
      <c r="G73" s="378"/>
      <c r="H73" s="394">
        <v>103</v>
      </c>
      <c r="I73" s="394">
        <v>0.1</v>
      </c>
      <c r="J73" s="394"/>
    </row>
    <row r="74" spans="2:10" ht="15.75">
      <c r="B74" s="757" t="s">
        <v>1488</v>
      </c>
      <c r="C74" s="378" t="s">
        <v>108</v>
      </c>
      <c r="D74" s="378" t="s">
        <v>32</v>
      </c>
      <c r="E74" s="378">
        <v>3</v>
      </c>
      <c r="F74" s="378">
        <v>0.1</v>
      </c>
      <c r="G74" s="378"/>
      <c r="H74" s="394">
        <v>103</v>
      </c>
      <c r="I74" s="394">
        <v>0.1</v>
      </c>
      <c r="J74" s="394"/>
    </row>
    <row r="75" spans="2:10" ht="15.75">
      <c r="B75" s="757" t="s">
        <v>1743</v>
      </c>
      <c r="C75" s="378" t="s">
        <v>109</v>
      </c>
      <c r="D75" s="378" t="s">
        <v>32</v>
      </c>
      <c r="E75" s="378">
        <v>3</v>
      </c>
      <c r="F75" s="378">
        <v>0.1</v>
      </c>
      <c r="G75" s="385"/>
      <c r="H75" s="394">
        <v>103</v>
      </c>
      <c r="I75" s="394">
        <v>0.1</v>
      </c>
      <c r="J75" s="394"/>
    </row>
    <row r="76" spans="2:10" s="374" customFormat="1" ht="15.75">
      <c r="B76" s="757" t="s">
        <v>1489</v>
      </c>
      <c r="C76" s="377" t="s">
        <v>341</v>
      </c>
      <c r="D76" s="397" t="s">
        <v>32</v>
      </c>
      <c r="E76" s="394">
        <v>3</v>
      </c>
      <c r="F76" s="394">
        <v>0.1</v>
      </c>
      <c r="G76" s="394"/>
      <c r="H76" s="394">
        <v>103</v>
      </c>
      <c r="I76" s="394">
        <v>0.1</v>
      </c>
      <c r="J76" s="394"/>
    </row>
    <row r="77" spans="2:10" s="374" customFormat="1" ht="90">
      <c r="B77" s="757" t="s">
        <v>1503</v>
      </c>
      <c r="C77" s="399" t="s">
        <v>385</v>
      </c>
      <c r="D77" s="385" t="s">
        <v>32</v>
      </c>
      <c r="E77" s="378">
        <v>3</v>
      </c>
      <c r="F77" s="378">
        <v>0.1</v>
      </c>
      <c r="G77" s="386" t="s">
        <v>1398</v>
      </c>
      <c r="H77" s="394">
        <v>103</v>
      </c>
      <c r="I77" s="394">
        <v>0.1</v>
      </c>
      <c r="J77" s="395" t="s">
        <v>1398</v>
      </c>
    </row>
    <row r="78" spans="2:10" s="374" customFormat="1" ht="15.75">
      <c r="B78" s="757" t="s">
        <v>1557</v>
      </c>
      <c r="C78" s="399" t="s">
        <v>386</v>
      </c>
      <c r="D78" s="397" t="s">
        <v>32</v>
      </c>
      <c r="E78" s="394">
        <v>3</v>
      </c>
      <c r="F78" s="394"/>
      <c r="G78" s="394"/>
      <c r="H78" s="394">
        <v>103</v>
      </c>
      <c r="I78" s="394"/>
      <c r="J78" s="394"/>
    </row>
    <row r="79" spans="2:10" s="373" customFormat="1" ht="30.75">
      <c r="B79" s="761" t="s">
        <v>1898</v>
      </c>
      <c r="C79" s="393" t="s">
        <v>1899</v>
      </c>
      <c r="D79" s="398" t="s">
        <v>1900</v>
      </c>
      <c r="E79" s="393">
        <v>24</v>
      </c>
      <c r="F79" s="369" t="s">
        <v>1387</v>
      </c>
      <c r="G79" s="401"/>
      <c r="H79" s="393">
        <v>104</v>
      </c>
      <c r="I79" s="393">
        <v>0.05</v>
      </c>
      <c r="J79" s="401"/>
    </row>
    <row r="80" spans="2:10" ht="15.75">
      <c r="B80" s="757" t="s">
        <v>1627</v>
      </c>
      <c r="C80" s="378" t="s">
        <v>111</v>
      </c>
      <c r="D80" s="381" t="s">
        <v>33</v>
      </c>
      <c r="E80" s="378">
        <v>4</v>
      </c>
      <c r="F80" s="378">
        <v>0.5</v>
      </c>
      <c r="G80" s="382"/>
      <c r="H80" s="405">
        <v>105</v>
      </c>
      <c r="I80" s="405">
        <v>0.4</v>
      </c>
      <c r="J80" s="394"/>
    </row>
    <row r="81" spans="2:10" ht="15.75">
      <c r="B81" s="757" t="s">
        <v>1605</v>
      </c>
      <c r="C81" s="378" t="s">
        <v>112</v>
      </c>
      <c r="D81" s="378" t="s">
        <v>33</v>
      </c>
      <c r="E81" s="378">
        <v>4</v>
      </c>
      <c r="F81" s="378">
        <v>0.5</v>
      </c>
      <c r="G81" s="378"/>
      <c r="H81" s="405">
        <v>105</v>
      </c>
      <c r="I81" s="405">
        <v>0.05</v>
      </c>
      <c r="J81" s="394"/>
    </row>
    <row r="82" spans="2:10" ht="15.75">
      <c r="B82" s="757" t="s">
        <v>1640</v>
      </c>
      <c r="C82" s="378" t="s">
        <v>113</v>
      </c>
      <c r="D82" s="378" t="s">
        <v>33</v>
      </c>
      <c r="E82" s="378">
        <v>4</v>
      </c>
      <c r="F82" s="378">
        <v>0.5</v>
      </c>
      <c r="G82" s="378"/>
      <c r="H82" s="405">
        <v>105</v>
      </c>
      <c r="I82" s="405">
        <v>0.05</v>
      </c>
      <c r="J82" s="394"/>
    </row>
    <row r="83" spans="2:10" ht="15.75">
      <c r="B83" s="757" t="s">
        <v>1649</v>
      </c>
      <c r="C83" s="378" t="s">
        <v>114</v>
      </c>
      <c r="D83" s="378" t="s">
        <v>33</v>
      </c>
      <c r="E83" s="378">
        <v>4</v>
      </c>
      <c r="F83" s="378">
        <v>0.5</v>
      </c>
      <c r="G83" s="378"/>
      <c r="H83" s="405">
        <v>105</v>
      </c>
      <c r="I83" s="405">
        <v>0.4</v>
      </c>
      <c r="J83" s="394"/>
    </row>
    <row r="84" spans="2:10" s="376" customFormat="1" ht="15.75">
      <c r="B84" s="757" t="s">
        <v>1642</v>
      </c>
      <c r="C84" s="404" t="s">
        <v>368</v>
      </c>
      <c r="D84" s="403" t="s">
        <v>33</v>
      </c>
      <c r="E84" s="402">
        <v>4</v>
      </c>
      <c r="F84" s="402">
        <v>0.5</v>
      </c>
      <c r="G84" s="378"/>
      <c r="H84" s="405">
        <v>105</v>
      </c>
      <c r="I84" s="405">
        <v>0.05</v>
      </c>
      <c r="J84" s="394"/>
    </row>
    <row r="85" spans="2:10" s="376" customFormat="1" ht="15.75">
      <c r="B85" s="757" t="s">
        <v>1644</v>
      </c>
      <c r="C85" s="404" t="s">
        <v>402</v>
      </c>
      <c r="D85" s="403" t="s">
        <v>33</v>
      </c>
      <c r="E85" s="402">
        <v>4</v>
      </c>
      <c r="F85" s="402">
        <v>0.5</v>
      </c>
      <c r="G85" s="378"/>
      <c r="H85" s="405">
        <v>105</v>
      </c>
      <c r="I85" s="405">
        <v>0.05</v>
      </c>
      <c r="J85" s="394"/>
    </row>
    <row r="86" spans="2:10" s="376" customFormat="1" ht="15.75">
      <c r="B86" s="759" t="s">
        <v>1648</v>
      </c>
      <c r="C86" s="404" t="s">
        <v>424</v>
      </c>
      <c r="D86" s="403" t="s">
        <v>33</v>
      </c>
      <c r="E86" s="402">
        <v>4</v>
      </c>
      <c r="F86" s="402">
        <v>0.5</v>
      </c>
      <c r="G86" s="378"/>
      <c r="H86" s="405">
        <v>105</v>
      </c>
      <c r="I86" s="405">
        <v>0.05</v>
      </c>
      <c r="J86" s="394"/>
    </row>
    <row r="87" spans="2:10" s="376" customFormat="1" ht="15.75">
      <c r="B87" s="757" t="s">
        <v>1651</v>
      </c>
      <c r="C87" s="404" t="s">
        <v>401</v>
      </c>
      <c r="D87" s="403" t="s">
        <v>33</v>
      </c>
      <c r="E87" s="402">
        <v>4</v>
      </c>
      <c r="F87" s="402">
        <v>0.5</v>
      </c>
      <c r="G87" s="378"/>
      <c r="H87" s="405">
        <v>105</v>
      </c>
      <c r="I87" s="405">
        <v>0.05</v>
      </c>
      <c r="J87" s="394"/>
    </row>
    <row r="88" spans="2:10" ht="15.75">
      <c r="B88" s="757" t="s">
        <v>1738</v>
      </c>
      <c r="C88" s="371" t="s">
        <v>122</v>
      </c>
      <c r="D88" s="378" t="s">
        <v>34</v>
      </c>
      <c r="E88" s="378" t="s">
        <v>123</v>
      </c>
      <c r="F88" s="378">
        <v>5.0000000000000001E-3</v>
      </c>
      <c r="G88" s="379"/>
      <c r="H88" s="407">
        <v>110</v>
      </c>
      <c r="I88" s="407">
        <v>5.0000000000000001E-3</v>
      </c>
      <c r="J88" s="394"/>
    </row>
    <row r="89" spans="2:10" ht="30">
      <c r="B89" s="757" t="s">
        <v>1739</v>
      </c>
      <c r="C89" s="378" t="s">
        <v>125</v>
      </c>
      <c r="D89" s="378" t="s">
        <v>34</v>
      </c>
      <c r="E89" s="378" t="s">
        <v>123</v>
      </c>
      <c r="F89" s="378">
        <v>5.0000000000000001E-3</v>
      </c>
      <c r="G89" s="379"/>
      <c r="H89" s="407">
        <v>110</v>
      </c>
      <c r="I89" s="407">
        <v>5.0000000000000001E-3</v>
      </c>
      <c r="J89" s="394"/>
    </row>
    <row r="90" spans="2:10" ht="15.75">
      <c r="B90" s="757" t="s">
        <v>126</v>
      </c>
      <c r="C90" s="378" t="s">
        <v>127</v>
      </c>
      <c r="D90" s="378" t="s">
        <v>34</v>
      </c>
      <c r="E90" s="378" t="s">
        <v>123</v>
      </c>
      <c r="F90" s="378">
        <v>5.0000000000000001E-3</v>
      </c>
      <c r="G90" s="379"/>
      <c r="H90" s="407">
        <v>110</v>
      </c>
      <c r="I90" s="407">
        <v>5.0000000000000001E-3</v>
      </c>
      <c r="J90" s="394"/>
    </row>
    <row r="91" spans="2:10" ht="30">
      <c r="B91" s="757" t="s">
        <v>1734</v>
      </c>
      <c r="C91" s="378" t="s">
        <v>129</v>
      </c>
      <c r="D91" s="378" t="s">
        <v>34</v>
      </c>
      <c r="E91" s="378" t="s">
        <v>123</v>
      </c>
      <c r="F91" s="378">
        <v>5.0000000000000001E-3</v>
      </c>
      <c r="G91" s="379"/>
      <c r="H91" s="407">
        <v>110</v>
      </c>
      <c r="I91" s="407">
        <v>5.0000000000000001E-3</v>
      </c>
      <c r="J91" s="394"/>
    </row>
    <row r="92" spans="2:10" ht="30">
      <c r="B92" s="757" t="s">
        <v>1735</v>
      </c>
      <c r="C92" s="378" t="s">
        <v>131</v>
      </c>
      <c r="D92" s="378" t="s">
        <v>34</v>
      </c>
      <c r="E92" s="378" t="s">
        <v>123</v>
      </c>
      <c r="F92" s="378">
        <v>5.0000000000000001E-3</v>
      </c>
      <c r="G92" s="379"/>
      <c r="H92" s="407">
        <v>110</v>
      </c>
      <c r="I92" s="407">
        <v>5.0000000000000001E-3</v>
      </c>
      <c r="J92" s="394"/>
    </row>
    <row r="93" spans="2:10" ht="30">
      <c r="B93" s="757" t="s">
        <v>1736</v>
      </c>
      <c r="C93" s="378" t="s">
        <v>133</v>
      </c>
      <c r="D93" s="378" t="s">
        <v>34</v>
      </c>
      <c r="E93" s="378" t="s">
        <v>123</v>
      </c>
      <c r="F93" s="378">
        <v>5.0000000000000001E-3</v>
      </c>
      <c r="G93" s="379"/>
      <c r="H93" s="407">
        <v>110</v>
      </c>
      <c r="I93" s="407">
        <v>5.0000000000000001E-3</v>
      </c>
      <c r="J93" s="394"/>
    </row>
    <row r="94" spans="2:10" ht="30">
      <c r="B94" s="757" t="s">
        <v>1737</v>
      </c>
      <c r="C94" s="378" t="s">
        <v>135</v>
      </c>
      <c r="D94" s="378" t="s">
        <v>34</v>
      </c>
      <c r="E94" s="378" t="s">
        <v>123</v>
      </c>
      <c r="F94" s="378">
        <v>5.0000000000000001E-3</v>
      </c>
      <c r="G94" s="379"/>
      <c r="H94" s="407">
        <v>110</v>
      </c>
      <c r="I94" s="407">
        <v>5.0000000000000001E-3</v>
      </c>
      <c r="J94" s="394"/>
    </row>
    <row r="95" spans="2:10" ht="45">
      <c r="B95" s="757" t="s">
        <v>1536</v>
      </c>
      <c r="C95" s="378" t="s">
        <v>136</v>
      </c>
      <c r="D95" s="378" t="s">
        <v>137</v>
      </c>
      <c r="E95" s="378">
        <v>15</v>
      </c>
      <c r="F95" s="378">
        <v>9.9999999999999995E-7</v>
      </c>
      <c r="G95" s="379"/>
      <c r="H95" s="407">
        <v>111</v>
      </c>
      <c r="I95" s="407">
        <v>1.0000000000000001E-5</v>
      </c>
      <c r="J95" s="394"/>
    </row>
    <row r="96" spans="2:10" ht="30">
      <c r="B96" s="757" t="s">
        <v>1469</v>
      </c>
      <c r="C96" s="378" t="s">
        <v>115</v>
      </c>
      <c r="D96" s="378" t="s">
        <v>36</v>
      </c>
      <c r="E96" s="378">
        <v>11</v>
      </c>
      <c r="F96" s="378">
        <v>4.0000000000000001E-3</v>
      </c>
      <c r="G96" s="378"/>
      <c r="H96" s="407">
        <v>110</v>
      </c>
      <c r="I96" s="407">
        <v>5.0000000000000001E-3</v>
      </c>
      <c r="J96" s="394"/>
    </row>
    <row r="97" spans="2:10" ht="30">
      <c r="B97" s="757" t="s">
        <v>1474</v>
      </c>
      <c r="C97" s="378" t="s">
        <v>116</v>
      </c>
      <c r="D97" s="378" t="s">
        <v>36</v>
      </c>
      <c r="E97" s="378">
        <v>11</v>
      </c>
      <c r="F97" s="378">
        <v>4.0000000000000001E-3</v>
      </c>
      <c r="G97" s="377" t="s">
        <v>195</v>
      </c>
      <c r="H97" s="407">
        <v>110</v>
      </c>
      <c r="I97" s="407">
        <v>5.0000000000000001E-3</v>
      </c>
      <c r="J97" s="607" t="s">
        <v>195</v>
      </c>
    </row>
    <row r="98" spans="2:10" ht="15.75">
      <c r="B98" s="757" t="s">
        <v>1742</v>
      </c>
      <c r="C98" s="378" t="s">
        <v>117</v>
      </c>
      <c r="D98" s="378" t="s">
        <v>36</v>
      </c>
      <c r="E98" s="378">
        <v>11</v>
      </c>
      <c r="F98" s="378">
        <v>4.0000000000000001E-3</v>
      </c>
      <c r="G98" s="378"/>
      <c r="H98" s="407">
        <v>110</v>
      </c>
      <c r="I98" s="407">
        <v>5.0000000000000001E-3</v>
      </c>
      <c r="J98" s="394"/>
    </row>
    <row r="99" spans="2:10" ht="15.75">
      <c r="B99" s="757" t="s">
        <v>1680</v>
      </c>
      <c r="C99" s="378" t="s">
        <v>118</v>
      </c>
      <c r="D99" s="378" t="s">
        <v>36</v>
      </c>
      <c r="E99" s="378">
        <v>11</v>
      </c>
      <c r="F99" s="378">
        <v>4.0000000000000001E-3</v>
      </c>
      <c r="G99" s="378"/>
      <c r="H99" s="407">
        <v>110</v>
      </c>
      <c r="I99" s="407">
        <v>5.0000000000000001E-3</v>
      </c>
      <c r="J99" s="394"/>
    </row>
    <row r="100" spans="2:10" ht="30.75">
      <c r="B100" s="757" t="s">
        <v>533</v>
      </c>
      <c r="C100" s="378" t="s">
        <v>138</v>
      </c>
      <c r="D100" s="378" t="s">
        <v>36</v>
      </c>
      <c r="E100" s="378">
        <v>11</v>
      </c>
      <c r="F100" s="199" t="s">
        <v>1388</v>
      </c>
      <c r="G100" s="378" t="s">
        <v>196</v>
      </c>
      <c r="H100" s="408">
        <v>110</v>
      </c>
      <c r="I100" s="409" t="s">
        <v>1387</v>
      </c>
      <c r="J100" s="394"/>
    </row>
    <row r="101" spans="2:10" ht="15.75">
      <c r="B101" s="757" t="s">
        <v>1664</v>
      </c>
      <c r="C101" s="378" t="s">
        <v>139</v>
      </c>
      <c r="D101" s="378" t="s">
        <v>36</v>
      </c>
      <c r="E101" s="378">
        <v>11</v>
      </c>
      <c r="F101" s="378">
        <v>4.0000000000000001E-3</v>
      </c>
      <c r="G101" s="378"/>
      <c r="H101" s="407">
        <v>110</v>
      </c>
      <c r="I101" s="407">
        <v>5.0000000000000001E-3</v>
      </c>
      <c r="J101" s="394"/>
    </row>
    <row r="102" spans="2:10" ht="15.75">
      <c r="B102" s="757" t="s">
        <v>1692</v>
      </c>
      <c r="C102" s="378" t="s">
        <v>140</v>
      </c>
      <c r="D102" s="378" t="s">
        <v>36</v>
      </c>
      <c r="E102" s="378">
        <v>11</v>
      </c>
      <c r="F102" s="378">
        <v>4.0000000000000001E-3</v>
      </c>
      <c r="G102" s="386"/>
      <c r="H102" s="407">
        <v>110</v>
      </c>
      <c r="I102" s="407">
        <v>5.0000000000000001E-3</v>
      </c>
      <c r="J102" s="394"/>
    </row>
    <row r="103" spans="2:10" ht="15.75">
      <c r="B103" s="757" t="s">
        <v>534</v>
      </c>
      <c r="C103" s="378" t="s">
        <v>141</v>
      </c>
      <c r="D103" s="378" t="s">
        <v>36</v>
      </c>
      <c r="E103" s="378">
        <v>11</v>
      </c>
      <c r="F103" s="378">
        <v>4.0000000000000001E-3</v>
      </c>
      <c r="G103" s="386"/>
      <c r="H103" s="407">
        <v>110</v>
      </c>
      <c r="I103" s="407">
        <v>5.0000000000000001E-3</v>
      </c>
      <c r="J103" s="394"/>
    </row>
    <row r="104" spans="2:10" ht="15.75">
      <c r="B104" s="757" t="s">
        <v>1556</v>
      </c>
      <c r="C104" s="378" t="s">
        <v>142</v>
      </c>
      <c r="D104" s="378" t="s">
        <v>36</v>
      </c>
      <c r="E104" s="381">
        <v>11</v>
      </c>
      <c r="F104" s="378">
        <v>4.0000000000000001E-3</v>
      </c>
      <c r="G104" s="387"/>
      <c r="H104" s="407">
        <v>110</v>
      </c>
      <c r="I104" s="407">
        <v>5.0000000000000001E-3</v>
      </c>
      <c r="J104" s="394"/>
    </row>
    <row r="105" spans="2:10" ht="30.75">
      <c r="B105" s="756" t="s">
        <v>1553</v>
      </c>
      <c r="C105" s="378" t="s">
        <v>144</v>
      </c>
      <c r="D105" s="378" t="s">
        <v>36</v>
      </c>
      <c r="E105" s="378">
        <v>11</v>
      </c>
      <c r="F105" s="378">
        <v>4.0000000000000001E-3</v>
      </c>
      <c r="G105" s="386"/>
      <c r="H105" s="407">
        <v>110</v>
      </c>
      <c r="I105" s="407">
        <v>5.0000000000000001E-3</v>
      </c>
      <c r="J105" s="394"/>
    </row>
    <row r="106" spans="2:10" ht="15.75">
      <c r="B106" s="757" t="s">
        <v>1554</v>
      </c>
      <c r="C106" s="378" t="s">
        <v>145</v>
      </c>
      <c r="D106" s="378" t="s">
        <v>36</v>
      </c>
      <c r="E106" s="378">
        <v>11</v>
      </c>
      <c r="F106" s="378">
        <v>4.0000000000000001E-3</v>
      </c>
      <c r="G106" s="386"/>
      <c r="H106" s="407">
        <v>110</v>
      </c>
      <c r="I106" s="407">
        <v>5.0000000000000001E-3</v>
      </c>
      <c r="J106" s="394"/>
    </row>
    <row r="107" spans="2:10" ht="45.75">
      <c r="B107" s="756" t="s">
        <v>1590</v>
      </c>
      <c r="C107" s="378" t="s">
        <v>146</v>
      </c>
      <c r="D107" s="378" t="s">
        <v>36</v>
      </c>
      <c r="E107" s="378">
        <v>11</v>
      </c>
      <c r="F107" s="378">
        <v>4.0000000000000001E-3</v>
      </c>
      <c r="G107" s="388"/>
      <c r="H107" s="407">
        <v>110</v>
      </c>
      <c r="I107" s="407">
        <v>5.0000000000000001E-3</v>
      </c>
      <c r="J107" s="394"/>
    </row>
    <row r="108" spans="2:10" s="406" customFormat="1" ht="30.75">
      <c r="B108" s="759" t="s">
        <v>1470</v>
      </c>
      <c r="C108" s="413" t="s">
        <v>418</v>
      </c>
      <c r="D108" s="412" t="s">
        <v>36</v>
      </c>
      <c r="E108" s="411">
        <v>11</v>
      </c>
      <c r="F108" s="411">
        <v>4.0000000000000001E-3</v>
      </c>
      <c r="G108" s="375" t="s">
        <v>1901</v>
      </c>
      <c r="H108" s="410">
        <v>110</v>
      </c>
      <c r="I108" s="410">
        <v>5.0000000000000001E-3</v>
      </c>
      <c r="J108" s="375" t="s">
        <v>1901</v>
      </c>
    </row>
    <row r="109" spans="2:10" ht="30">
      <c r="B109" s="757" t="s">
        <v>1658</v>
      </c>
      <c r="C109" s="378" t="s">
        <v>147</v>
      </c>
      <c r="D109" s="378" t="s">
        <v>37</v>
      </c>
      <c r="E109" s="378">
        <v>12</v>
      </c>
      <c r="F109" s="378" t="s">
        <v>1387</v>
      </c>
      <c r="G109" s="386"/>
      <c r="H109" s="416"/>
      <c r="I109" s="416"/>
      <c r="J109" s="394"/>
    </row>
    <row r="110" spans="2:10" ht="30">
      <c r="B110" s="757" t="s">
        <v>1634</v>
      </c>
      <c r="C110" s="378" t="s">
        <v>148</v>
      </c>
      <c r="D110" s="381" t="s">
        <v>37</v>
      </c>
      <c r="E110" s="381">
        <v>12</v>
      </c>
      <c r="F110" s="378" t="s">
        <v>1387</v>
      </c>
      <c r="G110" s="389"/>
      <c r="H110" s="415">
        <v>118</v>
      </c>
      <c r="I110" s="414">
        <v>0.02</v>
      </c>
      <c r="J110" s="394"/>
    </row>
    <row r="111" spans="2:10" ht="15.75">
      <c r="B111" s="757" t="s">
        <v>1584</v>
      </c>
      <c r="C111" s="378" t="s">
        <v>149</v>
      </c>
      <c r="D111" s="377" t="s">
        <v>38</v>
      </c>
      <c r="E111" s="378">
        <v>13</v>
      </c>
      <c r="F111" s="378">
        <v>0.01</v>
      </c>
      <c r="G111" s="386"/>
      <c r="H111" s="417">
        <v>118</v>
      </c>
      <c r="I111" s="418">
        <v>1.5</v>
      </c>
      <c r="J111" s="394"/>
    </row>
    <row r="112" spans="2:10" ht="15.75">
      <c r="B112" s="757" t="s">
        <v>1598</v>
      </c>
      <c r="C112" s="378" t="s">
        <v>150</v>
      </c>
      <c r="D112" s="377" t="s">
        <v>38</v>
      </c>
      <c r="E112" s="378">
        <v>13</v>
      </c>
      <c r="F112" s="378">
        <v>0.01</v>
      </c>
      <c r="G112" s="386"/>
      <c r="H112" s="418"/>
      <c r="I112" s="418"/>
      <c r="J112" s="394"/>
    </row>
    <row r="113" spans="2:10" ht="15.75">
      <c r="B113" s="757" t="s">
        <v>1608</v>
      </c>
      <c r="C113" s="378" t="s">
        <v>151</v>
      </c>
      <c r="D113" s="377" t="s">
        <v>38</v>
      </c>
      <c r="E113" s="378">
        <v>13</v>
      </c>
      <c r="F113" s="378">
        <v>0.01</v>
      </c>
      <c r="G113" s="386"/>
      <c r="H113" s="418"/>
      <c r="I113" s="418"/>
      <c r="J113" s="394"/>
    </row>
    <row r="114" spans="2:10" ht="15.75">
      <c r="B114" s="757" t="s">
        <v>1610</v>
      </c>
      <c r="C114" s="378" t="s">
        <v>152</v>
      </c>
      <c r="D114" s="377" t="s">
        <v>38</v>
      </c>
      <c r="E114" s="378">
        <v>13</v>
      </c>
      <c r="F114" s="378">
        <v>0.01</v>
      </c>
      <c r="G114" s="386"/>
      <c r="H114" s="418"/>
      <c r="I114" s="418"/>
      <c r="J114" s="394"/>
    </row>
    <row r="115" spans="2:10" ht="15.75">
      <c r="B115" s="757" t="s">
        <v>1625</v>
      </c>
      <c r="C115" s="378" t="s">
        <v>153</v>
      </c>
      <c r="D115" s="377" t="s">
        <v>38</v>
      </c>
      <c r="E115" s="378">
        <v>13</v>
      </c>
      <c r="F115" s="378">
        <v>0.01</v>
      </c>
      <c r="G115" s="386"/>
      <c r="H115" s="417">
        <v>118</v>
      </c>
      <c r="I115" s="418"/>
      <c r="J115" s="394"/>
    </row>
    <row r="116" spans="2:10" ht="15.75">
      <c r="B116" s="757" t="s">
        <v>1161</v>
      </c>
      <c r="C116" s="378" t="s">
        <v>154</v>
      </c>
      <c r="D116" s="377" t="s">
        <v>38</v>
      </c>
      <c r="E116" s="378">
        <v>13</v>
      </c>
      <c r="F116" s="378">
        <v>0.01</v>
      </c>
      <c r="G116" s="386"/>
      <c r="H116" s="418"/>
      <c r="I116" s="418"/>
      <c r="J116" s="394"/>
    </row>
    <row r="117" spans="2:10" ht="15.75">
      <c r="B117" s="757" t="s">
        <v>1660</v>
      </c>
      <c r="C117" s="378" t="s">
        <v>155</v>
      </c>
      <c r="D117" s="377" t="s">
        <v>38</v>
      </c>
      <c r="E117" s="378">
        <v>13</v>
      </c>
      <c r="F117" s="378">
        <v>0.01</v>
      </c>
      <c r="G117" s="386"/>
      <c r="H117" s="418"/>
      <c r="I117" s="418"/>
      <c r="J117" s="394"/>
    </row>
    <row r="118" spans="2:10" ht="15.75">
      <c r="B118" s="757" t="s">
        <v>1670</v>
      </c>
      <c r="C118" s="378" t="s">
        <v>156</v>
      </c>
      <c r="D118" s="377" t="s">
        <v>38</v>
      </c>
      <c r="E118" s="378">
        <v>13</v>
      </c>
      <c r="F118" s="378">
        <v>0.01</v>
      </c>
      <c r="G118" s="386"/>
      <c r="H118" s="418"/>
      <c r="I118" s="418"/>
      <c r="J118" s="394"/>
    </row>
    <row r="119" spans="2:10" ht="60">
      <c r="B119" s="757" t="s">
        <v>1684</v>
      </c>
      <c r="C119" s="378" t="s">
        <v>157</v>
      </c>
      <c r="D119" s="377" t="s">
        <v>38</v>
      </c>
      <c r="E119" s="378">
        <v>13</v>
      </c>
      <c r="F119" s="378">
        <v>0.01</v>
      </c>
      <c r="G119" s="386"/>
      <c r="H119" s="418"/>
      <c r="I119" s="418"/>
      <c r="J119" s="394"/>
    </row>
    <row r="120" spans="2:10" ht="30">
      <c r="B120" s="757" t="s">
        <v>1690</v>
      </c>
      <c r="C120" s="378" t="s">
        <v>158</v>
      </c>
      <c r="D120" s="377" t="s">
        <v>38</v>
      </c>
      <c r="E120" s="378">
        <v>13</v>
      </c>
      <c r="F120" s="378">
        <v>0.01</v>
      </c>
      <c r="G120" s="386"/>
      <c r="H120" s="418"/>
      <c r="I120" s="418"/>
      <c r="J120" s="394"/>
    </row>
    <row r="121" spans="2:10" ht="15.75">
      <c r="B121" s="757" t="s">
        <v>1693</v>
      </c>
      <c r="C121" s="378" t="s">
        <v>159</v>
      </c>
      <c r="D121" s="377" t="s">
        <v>38</v>
      </c>
      <c r="E121" s="378">
        <v>13</v>
      </c>
      <c r="F121" s="378">
        <v>0.01</v>
      </c>
      <c r="G121" s="386"/>
      <c r="H121" s="418"/>
      <c r="I121" s="418"/>
      <c r="J121" s="394"/>
    </row>
    <row r="122" spans="2:10" ht="30">
      <c r="B122" s="757" t="s">
        <v>1701</v>
      </c>
      <c r="C122" s="378" t="s">
        <v>160</v>
      </c>
      <c r="D122" s="377" t="s">
        <v>38</v>
      </c>
      <c r="E122" s="378">
        <v>13</v>
      </c>
      <c r="F122" s="378">
        <v>0.01</v>
      </c>
      <c r="G122" s="388"/>
      <c r="H122" s="418"/>
      <c r="I122" s="418"/>
      <c r="J122" s="394"/>
    </row>
    <row r="123" spans="2:10" ht="60">
      <c r="B123" s="757" t="s">
        <v>1703</v>
      </c>
      <c r="C123" s="378" t="s">
        <v>161</v>
      </c>
      <c r="D123" s="377" t="s">
        <v>38</v>
      </c>
      <c r="E123" s="378">
        <v>13</v>
      </c>
      <c r="F123" s="378">
        <v>0.01</v>
      </c>
      <c r="G123" s="388"/>
      <c r="H123" s="417">
        <v>118</v>
      </c>
      <c r="I123" s="418"/>
      <c r="J123" s="394"/>
    </row>
    <row r="124" spans="2:10" ht="15.75">
      <c r="B124" s="757" t="s">
        <v>1704</v>
      </c>
      <c r="C124" s="378" t="s">
        <v>162</v>
      </c>
      <c r="D124" s="377" t="s">
        <v>38</v>
      </c>
      <c r="E124" s="11">
        <v>13</v>
      </c>
      <c r="F124" s="378">
        <v>0.01</v>
      </c>
      <c r="G124" s="390"/>
      <c r="H124" s="418"/>
      <c r="I124" s="418"/>
      <c r="J124" s="394"/>
    </row>
    <row r="125" spans="2:10" ht="15.75">
      <c r="B125" s="757" t="s">
        <v>1707</v>
      </c>
      <c r="C125" s="378" t="s">
        <v>163</v>
      </c>
      <c r="D125" s="377" t="s">
        <v>38</v>
      </c>
      <c r="E125" s="378">
        <v>13</v>
      </c>
      <c r="F125" s="378">
        <v>0.01</v>
      </c>
      <c r="G125" s="388"/>
      <c r="H125" s="418"/>
      <c r="I125" s="418"/>
      <c r="J125" s="394"/>
    </row>
    <row r="126" spans="2:10" ht="45">
      <c r="B126" s="757" t="s">
        <v>1709</v>
      </c>
      <c r="C126" s="378" t="s">
        <v>164</v>
      </c>
      <c r="D126" s="377" t="s">
        <v>38</v>
      </c>
      <c r="E126" s="378">
        <v>13</v>
      </c>
      <c r="F126" s="378">
        <v>0.01</v>
      </c>
      <c r="G126" s="388"/>
      <c r="H126" s="418"/>
      <c r="I126" s="418"/>
      <c r="J126" s="394"/>
    </row>
    <row r="127" spans="2:10" ht="15.75">
      <c r="B127" s="757" t="s">
        <v>1713</v>
      </c>
      <c r="C127" s="378" t="s">
        <v>165</v>
      </c>
      <c r="D127" s="377" t="s">
        <v>38</v>
      </c>
      <c r="E127" s="378">
        <v>13</v>
      </c>
      <c r="F127" s="378">
        <v>0.01</v>
      </c>
      <c r="G127" s="388"/>
      <c r="H127" s="418"/>
      <c r="I127" s="418"/>
      <c r="J127" s="394"/>
    </row>
    <row r="128" spans="2:10" ht="15.75">
      <c r="B128" s="757" t="s">
        <v>1755</v>
      </c>
      <c r="C128" s="378" t="s">
        <v>166</v>
      </c>
      <c r="D128" s="377" t="s">
        <v>38</v>
      </c>
      <c r="E128" s="378">
        <v>13</v>
      </c>
      <c r="F128" s="378">
        <v>0.01</v>
      </c>
      <c r="G128" s="388"/>
      <c r="H128" s="417">
        <v>118</v>
      </c>
      <c r="I128" s="418"/>
      <c r="J128" s="394"/>
    </row>
    <row r="129" spans="2:10" ht="15.75">
      <c r="B129" s="757" t="s">
        <v>1759</v>
      </c>
      <c r="C129" s="378" t="s">
        <v>167</v>
      </c>
      <c r="D129" s="377" t="s">
        <v>38</v>
      </c>
      <c r="E129" s="378">
        <v>13</v>
      </c>
      <c r="F129" s="378">
        <v>0.01</v>
      </c>
      <c r="G129" s="388"/>
      <c r="H129" s="417">
        <v>118</v>
      </c>
      <c r="I129" s="418"/>
      <c r="J129" s="394"/>
    </row>
    <row r="130" spans="2:10" ht="15.75">
      <c r="B130" s="757" t="s">
        <v>1765</v>
      </c>
      <c r="C130" s="378" t="s">
        <v>168</v>
      </c>
      <c r="D130" s="377" t="s">
        <v>38</v>
      </c>
      <c r="E130" s="378">
        <v>13</v>
      </c>
      <c r="F130" s="378">
        <v>0.01</v>
      </c>
      <c r="G130" s="386"/>
      <c r="H130" s="417">
        <v>118</v>
      </c>
      <c r="I130" s="418"/>
      <c r="J130" s="394"/>
    </row>
    <row r="131" spans="2:10" ht="15.75">
      <c r="B131" s="757" t="s">
        <v>1773</v>
      </c>
      <c r="C131" s="378" t="s">
        <v>169</v>
      </c>
      <c r="D131" s="377" t="s">
        <v>38</v>
      </c>
      <c r="E131" s="378">
        <v>13</v>
      </c>
      <c r="F131" s="378">
        <v>0.01</v>
      </c>
      <c r="G131" s="386"/>
      <c r="H131" s="417">
        <v>118</v>
      </c>
      <c r="I131" s="418"/>
      <c r="J131" s="394"/>
    </row>
    <row r="132" spans="2:10" ht="15.75">
      <c r="B132" s="757" t="s">
        <v>1774</v>
      </c>
      <c r="C132" s="378" t="s">
        <v>170</v>
      </c>
      <c r="D132" s="377" t="s">
        <v>38</v>
      </c>
      <c r="E132" s="378">
        <v>13</v>
      </c>
      <c r="F132" s="378">
        <v>0.01</v>
      </c>
      <c r="G132" s="386"/>
      <c r="H132" s="418"/>
      <c r="I132" s="418"/>
      <c r="J132" s="394"/>
    </row>
    <row r="133" spans="2:10" ht="30">
      <c r="B133" s="757" t="s">
        <v>1616</v>
      </c>
      <c r="C133" s="378" t="s">
        <v>171</v>
      </c>
      <c r="D133" s="378" t="s">
        <v>38</v>
      </c>
      <c r="E133" s="378">
        <v>13</v>
      </c>
      <c r="F133" s="378" t="s">
        <v>1387</v>
      </c>
      <c r="G133" s="386"/>
      <c r="H133" s="418"/>
      <c r="I133" s="418"/>
      <c r="J133" s="394"/>
    </row>
    <row r="134" spans="2:10" ht="15.75">
      <c r="B134" s="757" t="s">
        <v>172</v>
      </c>
      <c r="C134" s="378" t="s">
        <v>173</v>
      </c>
      <c r="D134" s="377" t="s">
        <v>38</v>
      </c>
      <c r="E134" s="377" t="s">
        <v>174</v>
      </c>
      <c r="F134" s="378">
        <v>0.01</v>
      </c>
      <c r="G134" s="384"/>
      <c r="H134" s="418"/>
      <c r="I134" s="418"/>
      <c r="J134" s="394"/>
    </row>
    <row r="135" spans="2:10" ht="30">
      <c r="B135" s="757" t="s">
        <v>1541</v>
      </c>
      <c r="C135" s="378" t="s">
        <v>175</v>
      </c>
      <c r="D135" s="381" t="s">
        <v>176</v>
      </c>
      <c r="E135" s="381">
        <v>14</v>
      </c>
      <c r="F135" s="378" t="s">
        <v>1387</v>
      </c>
      <c r="G135" s="389"/>
      <c r="H135" s="421">
        <v>114</v>
      </c>
      <c r="I135" s="421">
        <v>0.05</v>
      </c>
      <c r="J135" s="394"/>
    </row>
    <row r="136" spans="2:10" ht="30">
      <c r="B136" s="757" t="s">
        <v>1588</v>
      </c>
      <c r="C136" s="378" t="s">
        <v>177</v>
      </c>
      <c r="D136" s="381" t="s">
        <v>176</v>
      </c>
      <c r="E136" s="378">
        <v>14</v>
      </c>
      <c r="F136" s="378" t="s">
        <v>1387</v>
      </c>
      <c r="G136" s="386"/>
      <c r="H136" s="421">
        <v>114</v>
      </c>
      <c r="I136" s="421">
        <v>0.05</v>
      </c>
      <c r="J136" s="394"/>
    </row>
    <row r="137" spans="2:10" ht="30">
      <c r="B137" s="757" t="s">
        <v>1637</v>
      </c>
      <c r="C137" s="378" t="s">
        <v>178</v>
      </c>
      <c r="D137" s="378" t="s">
        <v>176</v>
      </c>
      <c r="E137" s="378">
        <v>14</v>
      </c>
      <c r="F137" s="378" t="s">
        <v>1387</v>
      </c>
      <c r="G137" s="386"/>
      <c r="H137" s="421">
        <v>114</v>
      </c>
      <c r="I137" s="421" t="s">
        <v>1902</v>
      </c>
      <c r="J137" s="394"/>
    </row>
    <row r="138" spans="2:10" ht="45">
      <c r="B138" s="757" t="s">
        <v>1674</v>
      </c>
      <c r="C138" s="286" t="s">
        <v>179</v>
      </c>
      <c r="D138" s="378" t="s">
        <v>176</v>
      </c>
      <c r="E138" s="378">
        <v>14</v>
      </c>
      <c r="F138" s="378" t="s">
        <v>1387</v>
      </c>
      <c r="G138" s="388"/>
      <c r="H138" s="421">
        <v>114</v>
      </c>
      <c r="I138" s="421" t="s">
        <v>1902</v>
      </c>
      <c r="J138" s="394"/>
    </row>
    <row r="139" spans="2:10" ht="30">
      <c r="B139" s="758" t="s">
        <v>180</v>
      </c>
      <c r="C139" s="378" t="s">
        <v>181</v>
      </c>
      <c r="D139" s="381" t="s">
        <v>176</v>
      </c>
      <c r="E139" s="381">
        <v>14</v>
      </c>
      <c r="F139" s="378" t="s">
        <v>1387</v>
      </c>
      <c r="G139" s="389"/>
      <c r="H139" s="421">
        <v>114</v>
      </c>
      <c r="I139" s="421">
        <v>0.05</v>
      </c>
      <c r="J139" s="394"/>
    </row>
    <row r="140" spans="2:10" ht="45">
      <c r="B140" s="757" t="s">
        <v>1696</v>
      </c>
      <c r="C140" s="378" t="s">
        <v>182</v>
      </c>
      <c r="D140" s="381" t="s">
        <v>176</v>
      </c>
      <c r="E140" s="381">
        <v>14</v>
      </c>
      <c r="F140" s="378" t="s">
        <v>1387</v>
      </c>
      <c r="G140" s="389"/>
      <c r="H140" s="421">
        <v>114</v>
      </c>
      <c r="I140" s="421">
        <v>0.05</v>
      </c>
      <c r="J140" s="394"/>
    </row>
    <row r="141" spans="2:10" ht="45">
      <c r="B141" s="757" t="s">
        <v>1698</v>
      </c>
      <c r="C141" s="378" t="s">
        <v>183</v>
      </c>
      <c r="D141" s="381" t="s">
        <v>176</v>
      </c>
      <c r="E141" s="381">
        <v>14</v>
      </c>
      <c r="F141" s="378" t="s">
        <v>1387</v>
      </c>
      <c r="G141" s="389"/>
      <c r="H141" s="421">
        <v>114</v>
      </c>
      <c r="I141" s="421">
        <v>0.05</v>
      </c>
      <c r="J141" s="394"/>
    </row>
    <row r="142" spans="2:10" ht="30">
      <c r="B142" s="757" t="s">
        <v>1595</v>
      </c>
      <c r="C142" s="378" t="s">
        <v>184</v>
      </c>
      <c r="D142" s="381" t="s">
        <v>40</v>
      </c>
      <c r="E142" s="381">
        <v>16</v>
      </c>
      <c r="F142" s="378" t="s">
        <v>1387</v>
      </c>
      <c r="G142" s="389"/>
      <c r="H142" s="426">
        <v>102</v>
      </c>
      <c r="I142" s="426">
        <v>0.1</v>
      </c>
      <c r="J142" s="394"/>
    </row>
    <row r="143" spans="2:10" ht="15.75">
      <c r="B143" s="757" t="s">
        <v>1533</v>
      </c>
      <c r="C143" s="378" t="s">
        <v>185</v>
      </c>
      <c r="D143" s="378" t="s">
        <v>40</v>
      </c>
      <c r="E143" s="381" t="s">
        <v>186</v>
      </c>
      <c r="F143" s="378">
        <v>0.01</v>
      </c>
      <c r="G143" s="389"/>
      <c r="H143" s="426"/>
      <c r="I143" s="426"/>
      <c r="J143" s="394"/>
    </row>
    <row r="144" spans="2:10" ht="15.75">
      <c r="B144" s="757" t="s">
        <v>1547</v>
      </c>
      <c r="C144" s="378" t="s">
        <v>187</v>
      </c>
      <c r="D144" s="378" t="s">
        <v>40</v>
      </c>
      <c r="E144" s="381" t="s">
        <v>186</v>
      </c>
      <c r="F144" s="378">
        <v>0.01</v>
      </c>
      <c r="G144" s="391"/>
      <c r="H144" s="426"/>
      <c r="I144" s="426"/>
      <c r="J144" s="394"/>
    </row>
    <row r="145" spans="2:10" s="419" customFormat="1" ht="15.75">
      <c r="B145" s="757" t="s">
        <v>372</v>
      </c>
      <c r="C145" s="425" t="s">
        <v>371</v>
      </c>
      <c r="D145" s="424" t="s">
        <v>40</v>
      </c>
      <c r="E145" s="422">
        <v>23</v>
      </c>
      <c r="F145" s="423">
        <v>0.01</v>
      </c>
      <c r="G145" s="420"/>
      <c r="H145" s="426">
        <v>120</v>
      </c>
      <c r="I145" s="426">
        <v>0.05</v>
      </c>
      <c r="J145" s="421"/>
    </row>
    <row r="146" spans="2:10" ht="15.75">
      <c r="B146" s="757" t="s">
        <v>1579</v>
      </c>
      <c r="C146" s="378" t="s">
        <v>198</v>
      </c>
      <c r="D146" s="378" t="s">
        <v>41</v>
      </c>
      <c r="E146" s="378" t="s">
        <v>199</v>
      </c>
      <c r="F146" s="393">
        <v>2</v>
      </c>
      <c r="G146" s="388"/>
      <c r="H146" s="612" t="s">
        <v>1903</v>
      </c>
      <c r="I146" s="612">
        <v>20</v>
      </c>
      <c r="J146" s="610"/>
    </row>
    <row r="147" spans="2:10" ht="15.75">
      <c r="B147" s="757" t="s">
        <v>1582</v>
      </c>
      <c r="C147" s="378" t="s">
        <v>200</v>
      </c>
      <c r="D147" s="378" t="s">
        <v>41</v>
      </c>
      <c r="E147" s="378" t="s">
        <v>201</v>
      </c>
      <c r="F147" s="393">
        <v>2</v>
      </c>
      <c r="G147" s="388"/>
      <c r="H147" s="612" t="s">
        <v>1903</v>
      </c>
      <c r="I147" s="612">
        <v>1</v>
      </c>
      <c r="J147" s="610"/>
    </row>
    <row r="148" spans="2:10" ht="15.75">
      <c r="B148" s="757" t="s">
        <v>1587</v>
      </c>
      <c r="C148" s="378" t="s">
        <v>202</v>
      </c>
      <c r="D148" s="378" t="s">
        <v>41</v>
      </c>
      <c r="E148" s="378" t="s">
        <v>199</v>
      </c>
      <c r="F148" s="393">
        <v>2</v>
      </c>
      <c r="G148" s="388"/>
      <c r="H148" s="612" t="s">
        <v>1904</v>
      </c>
      <c r="I148" s="612">
        <v>10</v>
      </c>
      <c r="J148" s="610"/>
    </row>
    <row r="149" spans="2:10" ht="15.75">
      <c r="B149" s="757" t="s">
        <v>1589</v>
      </c>
      <c r="C149" s="378" t="s">
        <v>203</v>
      </c>
      <c r="D149" s="378" t="s">
        <v>41</v>
      </c>
      <c r="E149" s="378" t="s">
        <v>199</v>
      </c>
      <c r="F149" s="393">
        <v>2</v>
      </c>
      <c r="G149" s="388"/>
      <c r="H149" s="612" t="s">
        <v>1904</v>
      </c>
      <c r="I149" s="612">
        <v>1</v>
      </c>
      <c r="J149" s="614"/>
    </row>
    <row r="150" spans="2:10" ht="15.75">
      <c r="B150" s="757" t="s">
        <v>1620</v>
      </c>
      <c r="C150" s="378" t="s">
        <v>204</v>
      </c>
      <c r="D150" s="378" t="s">
        <v>41</v>
      </c>
      <c r="E150" s="378" t="s">
        <v>201</v>
      </c>
      <c r="F150" s="393">
        <v>12</v>
      </c>
      <c r="G150" s="388"/>
      <c r="H150" s="612" t="s">
        <v>1903</v>
      </c>
      <c r="I150" s="612">
        <v>1</v>
      </c>
      <c r="J150" s="611"/>
    </row>
    <row r="151" spans="2:10" ht="45.75">
      <c r="B151" s="757" t="s">
        <v>1667</v>
      </c>
      <c r="C151" s="378" t="s">
        <v>205</v>
      </c>
      <c r="D151" s="378" t="s">
        <v>41</v>
      </c>
      <c r="E151" s="378" t="s">
        <v>199</v>
      </c>
      <c r="F151" s="393">
        <v>2</v>
      </c>
      <c r="G151" s="388"/>
      <c r="H151" s="612" t="s">
        <v>1904</v>
      </c>
      <c r="I151" s="612">
        <v>1</v>
      </c>
      <c r="J151" s="613" t="s">
        <v>1905</v>
      </c>
    </row>
    <row r="152" spans="2:10" ht="15.75">
      <c r="B152" s="757" t="s">
        <v>1695</v>
      </c>
      <c r="C152" s="378" t="s">
        <v>206</v>
      </c>
      <c r="D152" s="378" t="s">
        <v>41</v>
      </c>
      <c r="E152" s="378" t="s">
        <v>201</v>
      </c>
      <c r="F152" s="393">
        <v>2</v>
      </c>
      <c r="G152" s="388"/>
      <c r="H152" s="612" t="s">
        <v>1903</v>
      </c>
      <c r="I152" s="612">
        <v>1</v>
      </c>
      <c r="J152" s="611"/>
    </row>
    <row r="153" spans="2:10" ht="15.75">
      <c r="B153" s="757" t="s">
        <v>1712</v>
      </c>
      <c r="C153" s="378" t="s">
        <v>207</v>
      </c>
      <c r="D153" s="378" t="s">
        <v>41</v>
      </c>
      <c r="E153" s="378" t="s">
        <v>199</v>
      </c>
      <c r="F153" s="393">
        <v>2</v>
      </c>
      <c r="G153" s="388"/>
      <c r="H153" s="612" t="s">
        <v>1903</v>
      </c>
      <c r="I153" s="612">
        <v>1</v>
      </c>
      <c r="J153" s="611"/>
    </row>
    <row r="154" spans="2:10" ht="15.75">
      <c r="B154" s="757" t="s">
        <v>1761</v>
      </c>
      <c r="C154" s="378" t="s">
        <v>208</v>
      </c>
      <c r="D154" s="378" t="s">
        <v>41</v>
      </c>
      <c r="E154" s="378" t="s">
        <v>201</v>
      </c>
      <c r="F154" s="393">
        <v>2</v>
      </c>
      <c r="G154" s="388"/>
      <c r="H154" s="612" t="s">
        <v>1903</v>
      </c>
      <c r="I154" s="612">
        <v>1</v>
      </c>
      <c r="J154" s="611"/>
    </row>
    <row r="155" spans="2:10" ht="15.75">
      <c r="B155" s="757" t="s">
        <v>1778</v>
      </c>
      <c r="C155" s="378" t="s">
        <v>209</v>
      </c>
      <c r="D155" s="378" t="s">
        <v>41</v>
      </c>
      <c r="E155" s="428" t="s">
        <v>199</v>
      </c>
      <c r="F155" s="393">
        <v>2</v>
      </c>
      <c r="G155" s="388"/>
      <c r="H155" s="612" t="s">
        <v>1906</v>
      </c>
      <c r="I155" s="612">
        <v>0.1</v>
      </c>
      <c r="J155" s="611"/>
    </row>
    <row r="156" spans="2:10" ht="45.75">
      <c r="B156" s="757" t="s">
        <v>1780</v>
      </c>
      <c r="C156" s="378" t="s">
        <v>210</v>
      </c>
      <c r="D156" s="378" t="s">
        <v>41</v>
      </c>
      <c r="E156" s="378" t="s">
        <v>199</v>
      </c>
      <c r="F156" s="393">
        <v>2</v>
      </c>
      <c r="G156" s="388"/>
      <c r="H156" s="612">
        <v>106</v>
      </c>
      <c r="I156" s="612">
        <v>1</v>
      </c>
      <c r="J156" s="613" t="s">
        <v>1905</v>
      </c>
    </row>
    <row r="157" spans="2:10" ht="15.75">
      <c r="B157" s="757" t="s">
        <v>1784</v>
      </c>
      <c r="C157" s="378" t="s">
        <v>211</v>
      </c>
      <c r="D157" s="378" t="s">
        <v>41</v>
      </c>
      <c r="E157" s="378" t="s">
        <v>199</v>
      </c>
      <c r="F157" s="393">
        <v>12.1</v>
      </c>
      <c r="G157" s="388"/>
      <c r="H157" s="612" t="s">
        <v>1903</v>
      </c>
      <c r="I157" s="612">
        <v>5</v>
      </c>
      <c r="J157" s="611"/>
    </row>
    <row r="158" spans="2:10" ht="15.75">
      <c r="B158" s="757" t="s">
        <v>1583</v>
      </c>
      <c r="C158" s="378" t="s">
        <v>212</v>
      </c>
      <c r="D158" s="378" t="s">
        <v>41</v>
      </c>
      <c r="E158" s="378" t="s">
        <v>199</v>
      </c>
      <c r="F158" s="393">
        <v>0.1</v>
      </c>
      <c r="G158" s="392"/>
      <c r="H158" s="612" t="s">
        <v>1903</v>
      </c>
      <c r="I158" s="612">
        <v>0.5</v>
      </c>
      <c r="J158" s="611"/>
    </row>
    <row r="159" spans="2:10" ht="15.75">
      <c r="B159" s="757" t="s">
        <v>1597</v>
      </c>
      <c r="C159" s="378" t="s">
        <v>213</v>
      </c>
      <c r="D159" s="378" t="s">
        <v>41</v>
      </c>
      <c r="E159" s="378" t="s">
        <v>199</v>
      </c>
      <c r="F159" s="393">
        <v>0.1</v>
      </c>
      <c r="G159" s="386"/>
      <c r="H159" s="612" t="s">
        <v>1904</v>
      </c>
      <c r="I159" s="612">
        <v>20</v>
      </c>
      <c r="J159" s="611"/>
    </row>
    <row r="160" spans="2:10" ht="15.75">
      <c r="B160" s="757" t="s">
        <v>1770</v>
      </c>
      <c r="C160" s="378" t="s">
        <v>214</v>
      </c>
      <c r="D160" s="378" t="s">
        <v>41</v>
      </c>
      <c r="E160" s="378" t="s">
        <v>199</v>
      </c>
      <c r="F160" s="393">
        <v>1</v>
      </c>
      <c r="G160" s="388"/>
      <c r="H160" s="612" t="s">
        <v>1904</v>
      </c>
      <c r="I160" s="612">
        <v>20</v>
      </c>
      <c r="J160" s="611"/>
    </row>
    <row r="161" spans="2:10" s="427" customFormat="1" ht="15.75">
      <c r="B161" s="606" t="s">
        <v>1596</v>
      </c>
      <c r="C161" s="438" t="s">
        <v>403</v>
      </c>
      <c r="D161" s="436" t="s">
        <v>41</v>
      </c>
      <c r="E161" s="434"/>
      <c r="F161" s="434"/>
      <c r="G161" s="429"/>
      <c r="H161" s="434">
        <v>108</v>
      </c>
      <c r="I161" s="434"/>
      <c r="J161" s="450"/>
    </row>
    <row r="162" spans="2:10" s="427" customFormat="1" ht="15.75">
      <c r="B162" s="606" t="s">
        <v>467</v>
      </c>
      <c r="C162" s="430" t="s">
        <v>606</v>
      </c>
      <c r="D162" s="436" t="s">
        <v>41</v>
      </c>
      <c r="E162" s="434"/>
      <c r="F162" s="434"/>
      <c r="G162" s="429"/>
      <c r="H162" s="434" t="s">
        <v>1904</v>
      </c>
      <c r="I162" s="434">
        <v>250</v>
      </c>
      <c r="J162" s="450"/>
    </row>
    <row r="163" spans="2:10" s="427" customFormat="1" ht="15.75">
      <c r="B163" s="606" t="s">
        <v>1672</v>
      </c>
      <c r="C163" s="438" t="s">
        <v>473</v>
      </c>
      <c r="D163" s="436" t="s">
        <v>41</v>
      </c>
      <c r="E163" s="434"/>
      <c r="F163" s="434"/>
      <c r="G163" s="429"/>
      <c r="H163" s="434">
        <v>106</v>
      </c>
      <c r="I163" s="434">
        <v>5</v>
      </c>
      <c r="J163" s="429"/>
    </row>
    <row r="164" spans="2:10" s="427" customFormat="1" ht="15.75">
      <c r="B164" s="606" t="s">
        <v>1694</v>
      </c>
      <c r="C164" s="438" t="s">
        <v>405</v>
      </c>
      <c r="D164" s="436" t="s">
        <v>41</v>
      </c>
      <c r="E164" s="434"/>
      <c r="F164" s="434"/>
      <c r="G164" s="429"/>
      <c r="H164" s="434" t="s">
        <v>1904</v>
      </c>
      <c r="I164" s="434">
        <v>1</v>
      </c>
      <c r="J164" s="429"/>
    </row>
    <row r="165" spans="2:10" s="427" customFormat="1" ht="15.75">
      <c r="B165" s="757" t="s">
        <v>475</v>
      </c>
      <c r="C165" s="438" t="s">
        <v>476</v>
      </c>
      <c r="D165" s="436" t="s">
        <v>41</v>
      </c>
      <c r="E165" s="434"/>
      <c r="F165" s="434"/>
      <c r="G165" s="429"/>
      <c r="H165" s="434" t="s">
        <v>1904</v>
      </c>
      <c r="I165" s="434">
        <v>100</v>
      </c>
      <c r="J165" s="429"/>
    </row>
    <row r="166" spans="2:10" s="427" customFormat="1" ht="15.75">
      <c r="B166" s="757" t="s">
        <v>484</v>
      </c>
      <c r="C166" s="431" t="s">
        <v>485</v>
      </c>
      <c r="D166" s="436" t="s">
        <v>41</v>
      </c>
      <c r="E166" s="434"/>
      <c r="F166" s="434"/>
      <c r="G166" s="429"/>
      <c r="H166" s="434" t="s">
        <v>1904</v>
      </c>
      <c r="I166" s="434">
        <v>500</v>
      </c>
      <c r="J166" s="429"/>
    </row>
    <row r="167" spans="2:10" s="427" customFormat="1" ht="15.75">
      <c r="B167" s="596" t="s">
        <v>1804</v>
      </c>
      <c r="C167" s="433" t="s">
        <v>1800</v>
      </c>
      <c r="D167" s="436" t="s">
        <v>41</v>
      </c>
      <c r="E167" s="434">
        <v>9</v>
      </c>
      <c r="F167" s="434">
        <v>0.03</v>
      </c>
      <c r="G167" s="429"/>
      <c r="H167" s="434" t="s">
        <v>1907</v>
      </c>
      <c r="I167" s="434">
        <v>0.05</v>
      </c>
      <c r="J167" s="429"/>
    </row>
    <row r="168" spans="2:10" s="427" customFormat="1" ht="15.75">
      <c r="B168" s="597" t="s">
        <v>1908</v>
      </c>
      <c r="C168" s="433" t="s">
        <v>1403</v>
      </c>
      <c r="D168" s="437" t="s">
        <v>41</v>
      </c>
      <c r="E168" s="435"/>
      <c r="F168" s="435"/>
      <c r="G168" s="432"/>
      <c r="H168" s="434" t="s">
        <v>1904</v>
      </c>
      <c r="I168" s="434">
        <v>0.3</v>
      </c>
      <c r="J168" s="432"/>
    </row>
    <row r="169" spans="2:10" ht="30">
      <c r="B169" s="757" t="s">
        <v>1758</v>
      </c>
      <c r="C169" s="431" t="s">
        <v>188</v>
      </c>
      <c r="D169" s="378" t="s">
        <v>189</v>
      </c>
      <c r="E169" s="378">
        <v>18</v>
      </c>
      <c r="F169" s="378">
        <v>1</v>
      </c>
      <c r="G169" s="386" t="s">
        <v>197</v>
      </c>
      <c r="H169" s="440">
        <v>115</v>
      </c>
      <c r="I169" s="440">
        <v>0.5</v>
      </c>
      <c r="J169" s="394"/>
    </row>
    <row r="170" spans="2:10" ht="15.75">
      <c r="B170" s="757" t="s">
        <v>1498</v>
      </c>
      <c r="C170" s="378" t="s">
        <v>190</v>
      </c>
      <c r="D170" s="378" t="s">
        <v>189</v>
      </c>
      <c r="E170" s="378">
        <v>18</v>
      </c>
      <c r="F170" s="378">
        <v>1</v>
      </c>
      <c r="G170" s="388"/>
      <c r="H170" s="440">
        <v>115</v>
      </c>
      <c r="I170" s="440">
        <v>0.5</v>
      </c>
      <c r="J170" s="394"/>
    </row>
    <row r="171" spans="2:10" ht="45">
      <c r="B171" s="757" t="s">
        <v>1685</v>
      </c>
      <c r="C171" s="378" t="s">
        <v>191</v>
      </c>
      <c r="D171" s="378" t="s">
        <v>189</v>
      </c>
      <c r="E171" s="378">
        <v>18</v>
      </c>
      <c r="F171" s="378">
        <v>1</v>
      </c>
      <c r="G171" s="386" t="s">
        <v>197</v>
      </c>
      <c r="H171" s="440"/>
      <c r="I171" s="440"/>
      <c r="J171" s="394"/>
    </row>
    <row r="172" spans="2:10" ht="15.75">
      <c r="B172" s="757" t="s">
        <v>1482</v>
      </c>
      <c r="C172" s="378" t="s">
        <v>192</v>
      </c>
      <c r="D172" s="378" t="s">
        <v>189</v>
      </c>
      <c r="E172" s="378">
        <v>18</v>
      </c>
      <c r="F172" s="378">
        <v>1</v>
      </c>
      <c r="G172" s="388"/>
      <c r="H172" s="440">
        <v>115</v>
      </c>
      <c r="I172" s="440">
        <v>0.5</v>
      </c>
      <c r="J172" s="394"/>
    </row>
    <row r="173" spans="2:10" ht="15.75">
      <c r="B173" s="757" t="s">
        <v>1501</v>
      </c>
      <c r="C173" s="378" t="s">
        <v>193</v>
      </c>
      <c r="D173" s="378" t="s">
        <v>189</v>
      </c>
      <c r="E173" s="378">
        <v>18</v>
      </c>
      <c r="F173" s="378">
        <v>1</v>
      </c>
      <c r="G173" s="386"/>
      <c r="H173" s="440">
        <v>115</v>
      </c>
      <c r="I173" s="440">
        <v>0.5</v>
      </c>
      <c r="J173" s="394"/>
    </row>
    <row r="174" spans="2:10" ht="15.75">
      <c r="B174" s="757" t="s">
        <v>1507</v>
      </c>
      <c r="C174" s="378" t="s">
        <v>194</v>
      </c>
      <c r="D174" s="378" t="s">
        <v>189</v>
      </c>
      <c r="E174" s="378">
        <v>18</v>
      </c>
      <c r="F174" s="378">
        <v>1</v>
      </c>
      <c r="G174" s="386"/>
      <c r="H174" s="440">
        <v>115</v>
      </c>
      <c r="I174" s="440">
        <v>0.5</v>
      </c>
      <c r="J174" s="394"/>
    </row>
    <row r="175" spans="2:10" s="439" customFormat="1" ht="30">
      <c r="B175" s="757" t="s">
        <v>1508</v>
      </c>
      <c r="C175" s="445" t="s">
        <v>357</v>
      </c>
      <c r="D175" s="444" t="s">
        <v>189</v>
      </c>
      <c r="E175" s="443">
        <v>18</v>
      </c>
      <c r="F175" s="443">
        <v>1</v>
      </c>
      <c r="G175" s="441"/>
      <c r="H175" s="443">
        <v>115</v>
      </c>
      <c r="I175" s="443">
        <v>0.5</v>
      </c>
      <c r="J175" s="440"/>
    </row>
    <row r="176" spans="2:10" s="439" customFormat="1" ht="30">
      <c r="B176" s="757" t="s">
        <v>1520</v>
      </c>
      <c r="C176" s="445" t="s">
        <v>358</v>
      </c>
      <c r="D176" s="444" t="s">
        <v>189</v>
      </c>
      <c r="E176" s="443">
        <v>18</v>
      </c>
      <c r="F176" s="443">
        <v>1</v>
      </c>
      <c r="G176" s="441"/>
      <c r="H176" s="443">
        <v>115</v>
      </c>
      <c r="I176" s="443">
        <v>0.5</v>
      </c>
      <c r="J176" s="440"/>
    </row>
    <row r="177" spans="2:10" s="439" customFormat="1" ht="15.75">
      <c r="B177" s="757" t="s">
        <v>1653</v>
      </c>
      <c r="C177" s="446" t="s">
        <v>356</v>
      </c>
      <c r="D177" s="444" t="s">
        <v>189</v>
      </c>
      <c r="E177" s="443"/>
      <c r="F177" s="443"/>
      <c r="G177" s="441"/>
      <c r="H177" s="443">
        <v>115</v>
      </c>
      <c r="I177" s="443">
        <v>0.5</v>
      </c>
      <c r="J177" s="440"/>
    </row>
    <row r="178" spans="2:10" s="439" customFormat="1" ht="15.75">
      <c r="B178" s="757" t="s">
        <v>1745</v>
      </c>
      <c r="C178" s="446" t="s">
        <v>360</v>
      </c>
      <c r="D178" s="444" t="s">
        <v>189</v>
      </c>
      <c r="E178" s="443">
        <v>18</v>
      </c>
      <c r="F178" s="443">
        <v>1</v>
      </c>
      <c r="G178" s="442" t="s">
        <v>197</v>
      </c>
      <c r="H178" s="443">
        <v>115</v>
      </c>
      <c r="I178" s="443">
        <v>0.5</v>
      </c>
      <c r="J178" s="440"/>
    </row>
    <row r="179" spans="2:10" s="439" customFormat="1" ht="15.75">
      <c r="B179" s="757" t="s">
        <v>1722</v>
      </c>
      <c r="C179" s="446" t="s">
        <v>359</v>
      </c>
      <c r="D179" s="444" t="s">
        <v>189</v>
      </c>
      <c r="E179" s="443"/>
      <c r="F179" s="443"/>
      <c r="G179" s="441"/>
      <c r="H179" s="443">
        <v>115</v>
      </c>
      <c r="I179" s="443">
        <v>0.5</v>
      </c>
      <c r="J179" s="440"/>
    </row>
    <row r="180" spans="2:10" ht="15.75">
      <c r="B180" s="757" t="s">
        <v>1565</v>
      </c>
      <c r="C180" s="378" t="s">
        <v>61</v>
      </c>
      <c r="D180" s="378" t="s">
        <v>43</v>
      </c>
      <c r="E180" s="378" t="s">
        <v>48</v>
      </c>
      <c r="F180" s="378">
        <v>0.2</v>
      </c>
      <c r="G180" s="379"/>
      <c r="H180" s="450"/>
      <c r="I180" s="450"/>
      <c r="J180" s="447"/>
    </row>
    <row r="181" spans="2:10" ht="30">
      <c r="B181" s="757" t="s">
        <v>513</v>
      </c>
      <c r="C181" s="378" t="s">
        <v>82</v>
      </c>
      <c r="D181" s="378" t="s">
        <v>83</v>
      </c>
      <c r="E181" s="378" t="s">
        <v>48</v>
      </c>
      <c r="F181" s="378" t="s">
        <v>1387</v>
      </c>
      <c r="G181" s="384"/>
      <c r="H181" s="450"/>
      <c r="I181" s="450"/>
      <c r="J181" s="447"/>
    </row>
    <row r="182" spans="2:10" ht="30">
      <c r="B182" s="757" t="s">
        <v>1659</v>
      </c>
      <c r="C182" s="378" t="s">
        <v>76</v>
      </c>
      <c r="D182" s="378" t="s">
        <v>45</v>
      </c>
      <c r="E182" s="378" t="s">
        <v>48</v>
      </c>
      <c r="F182" s="378" t="s">
        <v>1387</v>
      </c>
      <c r="G182" s="378"/>
      <c r="H182" s="450"/>
      <c r="I182" s="450"/>
      <c r="J182" s="447"/>
    </row>
    <row r="183" spans="2:10" ht="30">
      <c r="B183" s="757" t="s">
        <v>1581</v>
      </c>
      <c r="C183" s="378" t="s">
        <v>215</v>
      </c>
      <c r="D183" s="378" t="s">
        <v>45</v>
      </c>
      <c r="E183" s="378">
        <v>19</v>
      </c>
      <c r="F183" s="378"/>
      <c r="G183" s="386" t="s">
        <v>216</v>
      </c>
      <c r="H183" s="450">
        <v>112</v>
      </c>
      <c r="I183" s="450">
        <v>20</v>
      </c>
      <c r="J183" s="449" t="s">
        <v>1909</v>
      </c>
    </row>
    <row r="184" spans="2:10" ht="45">
      <c r="B184" s="757" t="s">
        <v>1568</v>
      </c>
      <c r="C184" s="378" t="s">
        <v>217</v>
      </c>
      <c r="D184" s="378" t="s">
        <v>45</v>
      </c>
      <c r="E184" s="378">
        <v>21</v>
      </c>
      <c r="F184" s="378" t="s">
        <v>218</v>
      </c>
      <c r="G184" s="386" t="s">
        <v>219</v>
      </c>
      <c r="H184" s="450">
        <v>116</v>
      </c>
      <c r="I184" s="448" t="s">
        <v>218</v>
      </c>
      <c r="J184" s="449" t="s">
        <v>1910</v>
      </c>
    </row>
    <row r="185" spans="2:10" ht="45">
      <c r="B185" s="757" t="s">
        <v>1566</v>
      </c>
      <c r="C185" s="378" t="s">
        <v>220</v>
      </c>
      <c r="D185" s="378" t="s">
        <v>45</v>
      </c>
      <c r="E185" s="378">
        <v>21</v>
      </c>
      <c r="F185" s="378" t="s">
        <v>218</v>
      </c>
      <c r="G185" s="386" t="s">
        <v>221</v>
      </c>
      <c r="H185" s="450">
        <v>116</v>
      </c>
      <c r="I185" s="448" t="s">
        <v>218</v>
      </c>
      <c r="J185" s="449" t="s">
        <v>1911</v>
      </c>
    </row>
    <row r="186" spans="2:10" ht="45">
      <c r="B186" s="757" t="s">
        <v>1576</v>
      </c>
      <c r="C186" s="378" t="s">
        <v>222</v>
      </c>
      <c r="D186" s="378" t="s">
        <v>45</v>
      </c>
      <c r="E186" s="378">
        <v>21</v>
      </c>
      <c r="F186" s="378" t="s">
        <v>218</v>
      </c>
      <c r="G186" s="609" t="s">
        <v>2547</v>
      </c>
      <c r="H186" s="450">
        <v>116</v>
      </c>
      <c r="I186" s="448" t="s">
        <v>218</v>
      </c>
      <c r="J186" s="449" t="s">
        <v>1912</v>
      </c>
    </row>
    <row r="187" spans="2:10" ht="45">
      <c r="B187" s="757" t="s">
        <v>1570</v>
      </c>
      <c r="C187" s="378" t="s">
        <v>223</v>
      </c>
      <c r="D187" s="378" t="s">
        <v>45</v>
      </c>
      <c r="E187" s="378">
        <v>21</v>
      </c>
      <c r="F187" s="378" t="s">
        <v>218</v>
      </c>
      <c r="G187" s="609" t="s">
        <v>2548</v>
      </c>
      <c r="H187" s="450">
        <v>116</v>
      </c>
      <c r="I187" s="448" t="s">
        <v>218</v>
      </c>
      <c r="J187" s="449" t="s">
        <v>1913</v>
      </c>
    </row>
  </sheetData>
  <sortState ref="B4:J148">
    <sortCondition ref="D4:D148"/>
  </sortState>
  <mergeCells count="5">
    <mergeCell ref="H2:J2"/>
    <mergeCell ref="E2:G2"/>
    <mergeCell ref="B2:B3"/>
    <mergeCell ref="D2:D3"/>
    <mergeCell ref="C2:C3"/>
  </mergeCells>
  <conditionalFormatting sqref="F17 F19:F23 F25:F28 F101:F153 F35:F99 F4 F6:F15">
    <cfRule type="expression" dxfId="20" priority="115">
      <formula>AND(G4&gt;0,F4&gt;G4)</formula>
    </cfRule>
  </conditionalFormatting>
  <conditionalFormatting sqref="F16">
    <cfRule type="expression" dxfId="19" priority="114">
      <formula>AND(G16&gt;0,F16&gt;G16)</formula>
    </cfRule>
  </conditionalFormatting>
  <conditionalFormatting sqref="F18">
    <cfRule type="expression" dxfId="18" priority="113">
      <formula>AND(G18&gt;0,F18&gt;G18)</formula>
    </cfRule>
  </conditionalFormatting>
  <conditionalFormatting sqref="F24">
    <cfRule type="expression" dxfId="17" priority="112">
      <formula>AND(G24&gt;0,F24&gt;G24)</formula>
    </cfRule>
  </conditionalFormatting>
  <conditionalFormatting sqref="F29:F33">
    <cfRule type="expression" dxfId="16" priority="111">
      <formula>AND(G29&gt;0,F29&gt;G29)</formula>
    </cfRule>
  </conditionalFormatting>
  <conditionalFormatting sqref="F34">
    <cfRule type="expression" dxfId="15" priority="110">
      <formula>AND(G34&gt;0,F34&gt;G34)</formula>
    </cfRule>
  </conditionalFormatting>
  <conditionalFormatting sqref="F180">
    <cfRule type="expression" dxfId="14" priority="109">
      <formula>AND(G180&gt;0,F180&gt;G180)</formula>
    </cfRule>
  </conditionalFormatting>
  <conditionalFormatting sqref="F183:F187 F100">
    <cfRule type="expression" dxfId="13" priority="116">
      <formula>AND(#REF!&gt;0,F100&gt;#REF!)</formula>
    </cfRule>
  </conditionalFormatting>
  <conditionalFormatting sqref="F109">
    <cfRule type="expression" dxfId="12" priority="13">
      <formula>AND(G109&gt;0,F109&gt;G109)</formula>
    </cfRule>
  </conditionalFormatting>
  <conditionalFormatting sqref="F110">
    <cfRule type="expression" dxfId="11" priority="12">
      <formula>AND(G110&gt;0,F110&gt;G110)</formula>
    </cfRule>
  </conditionalFormatting>
  <conditionalFormatting sqref="F133">
    <cfRule type="expression" dxfId="10" priority="11">
      <formula>AND(G133&gt;0,F133&gt;G133)</formula>
    </cfRule>
  </conditionalFormatting>
  <conditionalFormatting sqref="F135">
    <cfRule type="expression" dxfId="9" priority="10">
      <formula>AND(G135&gt;0,F135&gt;G135)</formula>
    </cfRule>
  </conditionalFormatting>
  <conditionalFormatting sqref="F136">
    <cfRule type="expression" dxfId="8" priority="9">
      <formula>AND(G136&gt;0,F136&gt;G136)</formula>
    </cfRule>
  </conditionalFormatting>
  <conditionalFormatting sqref="F137">
    <cfRule type="expression" dxfId="7" priority="8">
      <formula>AND(G137&gt;0,F137&gt;G137)</formula>
    </cfRule>
  </conditionalFormatting>
  <conditionalFormatting sqref="F138">
    <cfRule type="expression" dxfId="6" priority="7">
      <formula>AND(G138&gt;0,F138&gt;G138)</formula>
    </cfRule>
  </conditionalFormatting>
  <conditionalFormatting sqref="F139">
    <cfRule type="expression" dxfId="5" priority="6">
      <formula>AND(G139&gt;0,F139&gt;G139)</formula>
    </cfRule>
  </conditionalFormatting>
  <conditionalFormatting sqref="F140">
    <cfRule type="expression" dxfId="4" priority="5">
      <formula>AND(G140&gt;0,F140&gt;G140)</formula>
    </cfRule>
  </conditionalFormatting>
  <conditionalFormatting sqref="F141">
    <cfRule type="expression" dxfId="3" priority="4">
      <formula>AND(G141&gt;0,F141&gt;G141)</formula>
    </cfRule>
  </conditionalFormatting>
  <conditionalFormatting sqref="F142">
    <cfRule type="expression" dxfId="2" priority="3">
      <formula>AND(G142&gt;0,F142&gt;G142)</formula>
    </cfRule>
  </conditionalFormatting>
  <conditionalFormatting sqref="F181">
    <cfRule type="expression" dxfId="1" priority="2">
      <formula>AND(G181&gt;0,F181&gt;G181)</formula>
    </cfRule>
  </conditionalFormatting>
  <conditionalFormatting sqref="F182">
    <cfRule type="expression" dxfId="0" priority="1">
      <formula>AND(G182&gt;0,F182&gt;G182)</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sheetPr>
    <tabColor rgb="FF00B050"/>
    <pageSetUpPr fitToPage="1"/>
  </sheetPr>
  <dimension ref="B1:I93"/>
  <sheetViews>
    <sheetView topLeftCell="A58" workbookViewId="0">
      <selection activeCell="G42" sqref="G42"/>
    </sheetView>
  </sheetViews>
  <sheetFormatPr baseColWidth="10" defaultColWidth="11.42578125" defaultRowHeight="12.75"/>
  <cols>
    <col min="1" max="1" width="3" style="12" customWidth="1"/>
    <col min="2" max="2" width="17.7109375" style="12" customWidth="1"/>
    <col min="3" max="3" width="30.42578125" style="12" customWidth="1"/>
    <col min="4" max="4" width="42.85546875" style="12" bestFit="1" customWidth="1"/>
    <col min="5" max="5" width="12.7109375" style="12" customWidth="1"/>
    <col min="6" max="6" width="20.42578125" style="12" customWidth="1"/>
    <col min="7" max="7" width="11.42578125" style="12"/>
    <col min="8" max="8" width="79.42578125" style="12" customWidth="1"/>
    <col min="9" max="9" width="2.28515625" style="12" customWidth="1"/>
    <col min="10" max="16384" width="11.42578125" style="12"/>
  </cols>
  <sheetData>
    <row r="1" spans="2:9" s="345" customFormat="1"/>
    <row r="2" spans="2:9" s="345" customFormat="1">
      <c r="B2" s="330"/>
      <c r="C2" s="320" t="s">
        <v>1889</v>
      </c>
      <c r="D2" s="320"/>
      <c r="E2" s="320"/>
      <c r="F2" s="320"/>
      <c r="G2" s="320"/>
      <c r="H2" s="320"/>
    </row>
    <row r="4" spans="2:9" ht="27.75" customHeight="1">
      <c r="B4" s="56" t="s">
        <v>230</v>
      </c>
      <c r="C4" s="56" t="s">
        <v>1</v>
      </c>
      <c r="D4" s="56" t="s">
        <v>231</v>
      </c>
      <c r="E4" s="1069" t="s">
        <v>232</v>
      </c>
      <c r="F4" s="1069"/>
      <c r="G4" s="57" t="s">
        <v>233</v>
      </c>
      <c r="H4" s="57" t="s">
        <v>2</v>
      </c>
      <c r="I4" s="13"/>
    </row>
    <row r="5" spans="2:9" ht="20.100000000000001" customHeight="1">
      <c r="B5" s="1070">
        <v>1</v>
      </c>
      <c r="C5" s="1071" t="s">
        <v>234</v>
      </c>
      <c r="D5" s="8" t="s">
        <v>235</v>
      </c>
      <c r="E5" s="1072" t="s">
        <v>236</v>
      </c>
      <c r="F5" s="1072"/>
      <c r="G5" s="20" t="s">
        <v>237</v>
      </c>
      <c r="H5" s="1073" t="s">
        <v>238</v>
      </c>
      <c r="I5" s="14"/>
    </row>
    <row r="6" spans="2:9" ht="20.100000000000001" customHeight="1">
      <c r="B6" s="1070"/>
      <c r="C6" s="1071"/>
      <c r="D6" s="8" t="s">
        <v>239</v>
      </c>
      <c r="E6" s="21" t="s">
        <v>240</v>
      </c>
      <c r="F6" s="22" t="s">
        <v>241</v>
      </c>
      <c r="G6" s="20"/>
      <c r="H6" s="1073"/>
      <c r="I6" s="15"/>
    </row>
    <row r="7" spans="2:9" ht="20.100000000000001" customHeight="1">
      <c r="B7" s="1070">
        <v>2</v>
      </c>
      <c r="C7" s="1071" t="s">
        <v>234</v>
      </c>
      <c r="D7" s="8" t="s">
        <v>242</v>
      </c>
      <c r="E7" s="1072" t="s">
        <v>243</v>
      </c>
      <c r="F7" s="1072"/>
      <c r="G7" s="20" t="s">
        <v>244</v>
      </c>
      <c r="H7" s="1068" t="s">
        <v>238</v>
      </c>
      <c r="I7" s="14"/>
    </row>
    <row r="8" spans="2:9" ht="20.100000000000001" customHeight="1">
      <c r="B8" s="1070"/>
      <c r="C8" s="1071"/>
      <c r="D8" s="8" t="s">
        <v>245</v>
      </c>
      <c r="E8" s="22" t="s">
        <v>246</v>
      </c>
      <c r="F8" s="22" t="s">
        <v>241</v>
      </c>
      <c r="G8" s="23"/>
      <c r="H8" s="1068"/>
      <c r="I8" s="14"/>
    </row>
    <row r="9" spans="2:9" ht="35.25" customHeight="1">
      <c r="B9" s="24">
        <v>3</v>
      </c>
      <c r="C9" s="8" t="s">
        <v>247</v>
      </c>
      <c r="D9" s="8" t="s">
        <v>248</v>
      </c>
      <c r="E9" s="1072" t="s">
        <v>249</v>
      </c>
      <c r="F9" s="1072"/>
      <c r="G9" s="1"/>
      <c r="H9" s="324" t="s">
        <v>1817</v>
      </c>
      <c r="I9" s="15"/>
    </row>
    <row r="10" spans="2:9" ht="20.100000000000001" customHeight="1">
      <c r="B10" s="24">
        <v>4</v>
      </c>
      <c r="C10" s="8" t="s">
        <v>11</v>
      </c>
      <c r="D10" s="8" t="s">
        <v>250</v>
      </c>
      <c r="E10" s="1072" t="s">
        <v>251</v>
      </c>
      <c r="F10" s="1072"/>
      <c r="G10" s="1"/>
      <c r="H10" s="1"/>
      <c r="I10" s="15"/>
    </row>
    <row r="11" spans="2:9" ht="20.100000000000001" customHeight="1">
      <c r="B11" s="1070">
        <v>5</v>
      </c>
      <c r="C11" s="1071" t="s">
        <v>21</v>
      </c>
      <c r="D11" s="8" t="s">
        <v>252</v>
      </c>
      <c r="E11" s="1072" t="s">
        <v>253</v>
      </c>
      <c r="F11" s="1072"/>
      <c r="G11" s="20" t="s">
        <v>254</v>
      </c>
      <c r="H11" s="19"/>
      <c r="I11" s="16"/>
    </row>
    <row r="12" spans="2:9" ht="20.100000000000001" customHeight="1">
      <c r="B12" s="1070"/>
      <c r="C12" s="1071"/>
      <c r="D12" s="8" t="s">
        <v>255</v>
      </c>
      <c r="E12" s="1072" t="s">
        <v>256</v>
      </c>
      <c r="F12" s="1072"/>
      <c r="G12" s="1072" t="s">
        <v>257</v>
      </c>
      <c r="H12" s="19"/>
      <c r="I12" s="17"/>
    </row>
    <row r="13" spans="2:9" ht="20.100000000000001" customHeight="1">
      <c r="B13" s="1070"/>
      <c r="C13" s="1071"/>
      <c r="D13" s="8" t="s">
        <v>258</v>
      </c>
      <c r="E13" s="1072" t="s">
        <v>259</v>
      </c>
      <c r="F13" s="1072"/>
      <c r="G13" s="1072"/>
      <c r="H13" s="25"/>
      <c r="I13" s="17"/>
    </row>
    <row r="14" spans="2:9" ht="20.100000000000001" customHeight="1">
      <c r="B14" s="1070">
        <v>6</v>
      </c>
      <c r="C14" s="1071" t="s">
        <v>260</v>
      </c>
      <c r="D14" s="8" t="s">
        <v>252</v>
      </c>
      <c r="E14" s="1072" t="s">
        <v>2549</v>
      </c>
      <c r="F14" s="1072"/>
      <c r="G14" s="20" t="s">
        <v>254</v>
      </c>
      <c r="H14" s="19"/>
      <c r="I14" s="16"/>
    </row>
    <row r="15" spans="2:9" ht="20.100000000000001" customHeight="1">
      <c r="B15" s="1070"/>
      <c r="C15" s="1071"/>
      <c r="D15" s="8" t="s">
        <v>261</v>
      </c>
      <c r="E15" s="1072" t="s">
        <v>262</v>
      </c>
      <c r="F15" s="1072"/>
      <c r="G15" s="1072" t="s">
        <v>263</v>
      </c>
      <c r="H15" s="25"/>
      <c r="I15" s="17"/>
    </row>
    <row r="16" spans="2:9" ht="20.100000000000001" customHeight="1">
      <c r="B16" s="1070"/>
      <c r="C16" s="1071"/>
      <c r="D16" s="8" t="s">
        <v>264</v>
      </c>
      <c r="E16" s="1085" t="s">
        <v>265</v>
      </c>
      <c r="F16" s="1085"/>
      <c r="G16" s="1072"/>
      <c r="H16" s="25"/>
      <c r="I16" s="17"/>
    </row>
    <row r="17" spans="2:9" ht="20.100000000000001" customHeight="1">
      <c r="B17" s="1070">
        <v>7</v>
      </c>
      <c r="C17" s="1071" t="s">
        <v>260</v>
      </c>
      <c r="D17" s="8" t="s">
        <v>252</v>
      </c>
      <c r="E17" s="1072" t="s">
        <v>2549</v>
      </c>
      <c r="F17" s="1072"/>
      <c r="G17" s="20" t="s">
        <v>254</v>
      </c>
      <c r="H17" s="19"/>
      <c r="I17" s="15"/>
    </row>
    <row r="18" spans="2:9" ht="20.100000000000001" customHeight="1">
      <c r="B18" s="1070"/>
      <c r="C18" s="1071"/>
      <c r="D18" s="1" t="s">
        <v>266</v>
      </c>
      <c r="E18" s="1072" t="s">
        <v>267</v>
      </c>
      <c r="F18" s="1072"/>
      <c r="G18" s="1"/>
      <c r="H18" s="25"/>
      <c r="I18" s="15"/>
    </row>
    <row r="19" spans="2:9" ht="20.100000000000001" customHeight="1">
      <c r="B19" s="24">
        <v>8</v>
      </c>
      <c r="C19" s="8" t="s">
        <v>268</v>
      </c>
      <c r="D19" s="7" t="s">
        <v>269</v>
      </c>
      <c r="E19" s="1072" t="s">
        <v>270</v>
      </c>
      <c r="F19" s="1072"/>
      <c r="G19" s="20" t="s">
        <v>271</v>
      </c>
      <c r="H19" s="25"/>
      <c r="I19" s="17"/>
    </row>
    <row r="20" spans="2:9" ht="20.100000000000001" customHeight="1">
      <c r="B20" s="1070">
        <v>9</v>
      </c>
      <c r="C20" s="1071" t="s">
        <v>272</v>
      </c>
      <c r="D20" s="8" t="s">
        <v>252</v>
      </c>
      <c r="E20" s="1072" t="s">
        <v>2549</v>
      </c>
      <c r="F20" s="1072"/>
      <c r="G20" s="20" t="s">
        <v>254</v>
      </c>
      <c r="H20" s="19"/>
      <c r="I20" s="16"/>
    </row>
    <row r="21" spans="2:9" ht="20.100000000000001" customHeight="1">
      <c r="B21" s="1070"/>
      <c r="C21" s="1071"/>
      <c r="D21" s="8" t="s">
        <v>273</v>
      </c>
      <c r="E21" s="1072" t="s">
        <v>274</v>
      </c>
      <c r="F21" s="1072"/>
      <c r="G21" s="20" t="s">
        <v>275</v>
      </c>
      <c r="H21" s="5"/>
      <c r="I21" s="18"/>
    </row>
    <row r="22" spans="2:9" ht="20.100000000000001" customHeight="1">
      <c r="B22" s="1070"/>
      <c r="C22" s="1071"/>
      <c r="D22" s="8" t="s">
        <v>276</v>
      </c>
      <c r="E22" s="1072" t="s">
        <v>277</v>
      </c>
      <c r="F22" s="1072"/>
      <c r="G22" s="20"/>
      <c r="H22" s="5"/>
      <c r="I22" s="18"/>
    </row>
    <row r="23" spans="2:9" ht="20.100000000000001" customHeight="1">
      <c r="B23" s="1070"/>
      <c r="C23" s="1071"/>
      <c r="D23" s="8" t="s">
        <v>278</v>
      </c>
      <c r="E23" s="1072" t="s">
        <v>279</v>
      </c>
      <c r="F23" s="1072"/>
      <c r="G23" s="20"/>
      <c r="H23" s="5"/>
      <c r="I23" s="17"/>
    </row>
    <row r="24" spans="2:9" ht="20.100000000000001" customHeight="1">
      <c r="B24" s="24">
        <v>10</v>
      </c>
      <c r="C24" s="1" t="s">
        <v>13</v>
      </c>
      <c r="D24" s="8" t="s">
        <v>280</v>
      </c>
      <c r="E24" s="1072" t="s">
        <v>281</v>
      </c>
      <c r="F24" s="1072"/>
      <c r="G24" s="1"/>
      <c r="H24" s="1"/>
      <c r="I24" s="15"/>
    </row>
    <row r="25" spans="2:9" ht="20.100000000000001" customHeight="1">
      <c r="B25" s="24">
        <v>11</v>
      </c>
      <c r="C25" s="8" t="s">
        <v>16</v>
      </c>
      <c r="D25" s="8" t="s">
        <v>282</v>
      </c>
      <c r="E25" s="1072" t="s">
        <v>283</v>
      </c>
      <c r="F25" s="1072"/>
      <c r="G25" s="1"/>
      <c r="H25" s="1"/>
      <c r="I25" s="15"/>
    </row>
    <row r="26" spans="2:9" ht="20.100000000000001" customHeight="1">
      <c r="B26" s="24">
        <v>12</v>
      </c>
      <c r="C26" s="8" t="s">
        <v>17</v>
      </c>
      <c r="D26" s="8" t="s">
        <v>284</v>
      </c>
      <c r="E26" s="1072" t="s">
        <v>285</v>
      </c>
      <c r="F26" s="1072"/>
      <c r="G26" s="1"/>
      <c r="H26" s="19" t="s">
        <v>286</v>
      </c>
      <c r="I26" s="15"/>
    </row>
    <row r="27" spans="2:9" ht="20.100000000000001" customHeight="1">
      <c r="B27" s="24">
        <v>13</v>
      </c>
      <c r="C27" s="326" t="s">
        <v>1818</v>
      </c>
      <c r="D27" s="8" t="s">
        <v>287</v>
      </c>
      <c r="E27" s="1072" t="s">
        <v>288</v>
      </c>
      <c r="F27" s="1072"/>
      <c r="G27" s="1"/>
      <c r="H27" s="26" t="s">
        <v>289</v>
      </c>
      <c r="I27" s="14"/>
    </row>
    <row r="28" spans="2:9" ht="20.100000000000001" customHeight="1">
      <c r="B28" s="1074">
        <v>14</v>
      </c>
      <c r="C28" s="1077" t="s">
        <v>290</v>
      </c>
      <c r="D28" s="8" t="s">
        <v>291</v>
      </c>
      <c r="E28" s="1072" t="s">
        <v>292</v>
      </c>
      <c r="F28" s="1072"/>
      <c r="G28" s="1"/>
      <c r="H28" s="329" t="s">
        <v>1820</v>
      </c>
      <c r="I28" s="14"/>
    </row>
    <row r="29" spans="2:9" s="327" customFormat="1" ht="20.100000000000001" customHeight="1">
      <c r="B29" s="1076"/>
      <c r="C29" s="1079"/>
      <c r="D29" s="318" t="s">
        <v>1819</v>
      </c>
      <c r="E29" s="1080"/>
      <c r="F29" s="1081"/>
      <c r="G29" s="325"/>
      <c r="H29" s="329"/>
      <c r="I29" s="328"/>
    </row>
    <row r="30" spans="2:9" ht="20.100000000000001" customHeight="1">
      <c r="B30" s="24">
        <v>15</v>
      </c>
      <c r="C30" s="8" t="s">
        <v>293</v>
      </c>
      <c r="D30" s="8" t="s">
        <v>294</v>
      </c>
      <c r="E30" s="1072" t="s">
        <v>295</v>
      </c>
      <c r="F30" s="1072"/>
      <c r="G30" s="1"/>
      <c r="H30" s="19" t="s">
        <v>296</v>
      </c>
      <c r="I30" s="15"/>
    </row>
    <row r="31" spans="2:9" ht="20.100000000000001" customHeight="1">
      <c r="B31" s="1070">
        <v>16</v>
      </c>
      <c r="C31" s="1086" t="s">
        <v>20</v>
      </c>
      <c r="D31" s="8" t="s">
        <v>297</v>
      </c>
      <c r="E31" s="1072" t="s">
        <v>298</v>
      </c>
      <c r="F31" s="1072"/>
      <c r="G31" s="1"/>
      <c r="H31" s="19" t="s">
        <v>299</v>
      </c>
      <c r="I31" s="15"/>
    </row>
    <row r="32" spans="2:9" ht="20.100000000000001" customHeight="1">
      <c r="B32" s="1070"/>
      <c r="C32" s="1086"/>
      <c r="D32" s="8" t="s">
        <v>250</v>
      </c>
      <c r="E32" s="1072" t="s">
        <v>300</v>
      </c>
      <c r="F32" s="1072"/>
      <c r="G32" s="20" t="s">
        <v>301</v>
      </c>
      <c r="H32" s="1"/>
      <c r="I32" s="15"/>
    </row>
    <row r="33" spans="2:9" ht="20.100000000000001" customHeight="1">
      <c r="B33" s="1070">
        <v>17</v>
      </c>
      <c r="C33" s="1071" t="s">
        <v>302</v>
      </c>
      <c r="D33" s="8" t="s">
        <v>303</v>
      </c>
      <c r="E33" s="1072" t="s">
        <v>304</v>
      </c>
      <c r="F33" s="1072"/>
      <c r="G33" s="20" t="s">
        <v>305</v>
      </c>
      <c r="H33" s="1"/>
      <c r="I33" s="15"/>
    </row>
    <row r="34" spans="2:9" ht="20.100000000000001" customHeight="1">
      <c r="B34" s="1070"/>
      <c r="C34" s="1086"/>
      <c r="D34" s="8" t="s">
        <v>306</v>
      </c>
      <c r="E34" s="1072" t="s">
        <v>307</v>
      </c>
      <c r="F34" s="1072"/>
      <c r="G34" s="20" t="s">
        <v>308</v>
      </c>
      <c r="H34" s="1"/>
      <c r="I34" s="15"/>
    </row>
    <row r="35" spans="2:9" ht="20.100000000000001" customHeight="1">
      <c r="B35" s="1070">
        <v>18</v>
      </c>
      <c r="C35" s="1086" t="s">
        <v>309</v>
      </c>
      <c r="D35" s="8" t="s">
        <v>287</v>
      </c>
      <c r="E35" s="1072" t="s">
        <v>310</v>
      </c>
      <c r="F35" s="1072"/>
      <c r="G35" s="8"/>
      <c r="H35" s="1"/>
      <c r="I35" s="15"/>
    </row>
    <row r="36" spans="2:9" ht="20.100000000000001" customHeight="1">
      <c r="B36" s="1070"/>
      <c r="C36" s="1086"/>
      <c r="D36" s="8" t="s">
        <v>280</v>
      </c>
      <c r="E36" s="1072" t="s">
        <v>311</v>
      </c>
      <c r="F36" s="1072"/>
      <c r="G36" s="8"/>
      <c r="H36" s="1"/>
      <c r="I36" s="15"/>
    </row>
    <row r="37" spans="2:9" ht="20.100000000000001" customHeight="1">
      <c r="B37" s="1070">
        <v>19</v>
      </c>
      <c r="C37" s="1071" t="s">
        <v>312</v>
      </c>
      <c r="D37" s="8" t="s">
        <v>313</v>
      </c>
      <c r="E37" s="1072" t="s">
        <v>314</v>
      </c>
      <c r="F37" s="1072"/>
      <c r="G37" s="8"/>
      <c r="H37" s="1"/>
      <c r="I37" s="15"/>
    </row>
    <row r="38" spans="2:9" ht="19.5" customHeight="1">
      <c r="B38" s="1070"/>
      <c r="C38" s="1071"/>
      <c r="D38" s="8" t="s">
        <v>315</v>
      </c>
      <c r="E38" s="1072" t="s">
        <v>316</v>
      </c>
      <c r="F38" s="1072"/>
      <c r="G38" s="8"/>
      <c r="H38" s="1"/>
      <c r="I38" s="15"/>
    </row>
    <row r="39" spans="2:9" ht="19.5" customHeight="1">
      <c r="B39" s="24">
        <v>20</v>
      </c>
      <c r="C39" s="8" t="s">
        <v>317</v>
      </c>
      <c r="D39" s="8" t="s">
        <v>287</v>
      </c>
      <c r="E39" s="1072" t="s">
        <v>318</v>
      </c>
      <c r="F39" s="1072"/>
      <c r="G39" s="8"/>
      <c r="H39" s="1"/>
      <c r="I39" s="15"/>
    </row>
    <row r="40" spans="2:9" ht="19.5" customHeight="1">
      <c r="B40" s="1070">
        <v>21</v>
      </c>
      <c r="C40" s="8" t="s">
        <v>319</v>
      </c>
      <c r="D40" s="8"/>
      <c r="E40" s="1072" t="s">
        <v>320</v>
      </c>
      <c r="F40" s="1072"/>
      <c r="G40" s="20" t="s">
        <v>321</v>
      </c>
      <c r="H40" s="1068" t="s">
        <v>322</v>
      </c>
      <c r="I40" s="15"/>
    </row>
    <row r="41" spans="2:9" ht="20.100000000000001" customHeight="1">
      <c r="B41" s="1070"/>
      <c r="C41" s="1071" t="s">
        <v>323</v>
      </c>
      <c r="D41" s="8" t="s">
        <v>324</v>
      </c>
      <c r="E41" s="1072" t="s">
        <v>325</v>
      </c>
      <c r="F41" s="1072"/>
      <c r="G41" s="20" t="s">
        <v>326</v>
      </c>
      <c r="H41" s="1073"/>
      <c r="I41" s="15"/>
    </row>
    <row r="42" spans="2:9" ht="20.100000000000001" customHeight="1">
      <c r="B42" s="1070"/>
      <c r="C42" s="1071"/>
      <c r="D42" s="8" t="s">
        <v>269</v>
      </c>
      <c r="E42" s="1072" t="s">
        <v>327</v>
      </c>
      <c r="F42" s="1072"/>
      <c r="G42" s="616" t="s">
        <v>1872</v>
      </c>
      <c r="H42" s="1073"/>
      <c r="I42" s="15"/>
    </row>
    <row r="43" spans="2:9" ht="20.100000000000001" customHeight="1">
      <c r="B43" s="1070"/>
      <c r="C43" s="1071"/>
      <c r="D43" s="8" t="s">
        <v>328</v>
      </c>
      <c r="E43" s="1072" t="s">
        <v>329</v>
      </c>
      <c r="F43" s="1072"/>
      <c r="G43" s="8"/>
      <c r="H43" s="1073"/>
      <c r="I43" s="15"/>
    </row>
    <row r="44" spans="2:9">
      <c r="B44" s="1070">
        <v>22</v>
      </c>
      <c r="C44" s="1071" t="s">
        <v>234</v>
      </c>
      <c r="D44" s="333" t="s">
        <v>1821</v>
      </c>
      <c r="E44" s="339" t="s">
        <v>1822</v>
      </c>
      <c r="F44" s="338" t="s">
        <v>1823</v>
      </c>
      <c r="G44" s="333"/>
      <c r="H44" s="331"/>
    </row>
    <row r="45" spans="2:9">
      <c r="B45" s="1070"/>
      <c r="C45" s="1071"/>
      <c r="D45" s="333" t="s">
        <v>1824</v>
      </c>
      <c r="E45" s="339" t="s">
        <v>1825</v>
      </c>
      <c r="F45" s="338" t="s">
        <v>1823</v>
      </c>
      <c r="G45" s="333"/>
      <c r="H45" s="331"/>
    </row>
    <row r="46" spans="2:9">
      <c r="B46" s="334">
        <v>23</v>
      </c>
      <c r="C46" s="333" t="s">
        <v>1826</v>
      </c>
      <c r="D46" s="333" t="s">
        <v>250</v>
      </c>
      <c r="E46" s="1080" t="s">
        <v>1827</v>
      </c>
      <c r="F46" s="1081"/>
      <c r="G46" s="332"/>
      <c r="H46" s="332"/>
    </row>
    <row r="47" spans="2:9">
      <c r="B47" s="1074">
        <v>24</v>
      </c>
      <c r="C47" s="1077" t="s">
        <v>1828</v>
      </c>
      <c r="D47" s="333" t="s">
        <v>1829</v>
      </c>
      <c r="E47" s="1080" t="s">
        <v>1830</v>
      </c>
      <c r="F47" s="1081"/>
      <c r="G47" s="331"/>
      <c r="H47" s="335" t="s">
        <v>1831</v>
      </c>
    </row>
    <row r="48" spans="2:9">
      <c r="B48" s="1075"/>
      <c r="C48" s="1078"/>
      <c r="D48" s="333" t="s">
        <v>1832</v>
      </c>
      <c r="E48" s="1080" t="s">
        <v>1833</v>
      </c>
      <c r="F48" s="1081"/>
      <c r="G48" s="331"/>
      <c r="H48" s="335" t="s">
        <v>1831</v>
      </c>
    </row>
    <row r="49" spans="2:8">
      <c r="B49" s="1076"/>
      <c r="C49" s="1079"/>
      <c r="D49" s="333" t="s">
        <v>1834</v>
      </c>
      <c r="E49" s="337"/>
      <c r="F49" s="336"/>
      <c r="G49" s="331"/>
      <c r="H49" s="331"/>
    </row>
    <row r="50" spans="2:8" s="345" customFormat="1">
      <c r="B50" s="321"/>
      <c r="C50" s="322"/>
      <c r="D50" s="322"/>
      <c r="E50" s="323"/>
      <c r="F50" s="347"/>
      <c r="G50" s="346"/>
      <c r="H50" s="346"/>
    </row>
    <row r="51" spans="2:8" s="345" customFormat="1">
      <c r="B51" s="367"/>
      <c r="C51" s="364" t="s">
        <v>1890</v>
      </c>
      <c r="D51" s="364"/>
      <c r="E51" s="365"/>
      <c r="F51" s="366"/>
      <c r="G51" s="364"/>
      <c r="H51" s="364"/>
    </row>
    <row r="53" spans="2:8" ht="25.5">
      <c r="B53" s="354" t="s">
        <v>230</v>
      </c>
      <c r="C53" s="354" t="s">
        <v>1</v>
      </c>
      <c r="D53" s="354" t="s">
        <v>231</v>
      </c>
      <c r="E53" s="1069" t="s">
        <v>232</v>
      </c>
      <c r="F53" s="1069"/>
      <c r="G53" s="355" t="s">
        <v>233</v>
      </c>
      <c r="H53" s="355" t="s">
        <v>2</v>
      </c>
    </row>
    <row r="54" spans="2:8">
      <c r="B54" s="1070">
        <v>101</v>
      </c>
      <c r="C54" s="1071" t="s">
        <v>234</v>
      </c>
      <c r="D54" s="344" t="s">
        <v>239</v>
      </c>
      <c r="E54" s="1080" t="s">
        <v>1835</v>
      </c>
      <c r="F54" s="1081"/>
      <c r="G54" s="349" t="s">
        <v>1836</v>
      </c>
      <c r="H54" s="1073" t="s">
        <v>1837</v>
      </c>
    </row>
    <row r="55" spans="2:8">
      <c r="B55" s="1070"/>
      <c r="C55" s="1071"/>
      <c r="D55" s="344"/>
      <c r="E55" s="356"/>
      <c r="F55" s="357"/>
      <c r="G55" s="341"/>
      <c r="H55" s="1073"/>
    </row>
    <row r="56" spans="2:8">
      <c r="B56" s="1070">
        <v>102</v>
      </c>
      <c r="C56" s="1071" t="s">
        <v>234</v>
      </c>
      <c r="D56" s="344" t="s">
        <v>245</v>
      </c>
      <c r="E56" s="1080" t="s">
        <v>1838</v>
      </c>
      <c r="F56" s="1081"/>
      <c r="G56" s="349" t="s">
        <v>1839</v>
      </c>
      <c r="H56" s="1073" t="s">
        <v>1837</v>
      </c>
    </row>
    <row r="57" spans="2:8">
      <c r="B57" s="1070"/>
      <c r="C57" s="1071"/>
      <c r="D57" s="344" t="s">
        <v>245</v>
      </c>
      <c r="E57" s="1080" t="s">
        <v>241</v>
      </c>
      <c r="F57" s="1081"/>
      <c r="G57" s="341"/>
      <c r="H57" s="1073"/>
    </row>
    <row r="58" spans="2:8">
      <c r="B58" s="1074">
        <v>103</v>
      </c>
      <c r="C58" s="1077" t="s">
        <v>247</v>
      </c>
      <c r="D58" s="344" t="s">
        <v>248</v>
      </c>
      <c r="E58" s="1080" t="s">
        <v>1840</v>
      </c>
      <c r="F58" s="1081"/>
      <c r="G58" s="341"/>
      <c r="H58" s="348"/>
    </row>
    <row r="59" spans="2:8" ht="25.5">
      <c r="B59" s="1076"/>
      <c r="C59" s="1079"/>
      <c r="D59" s="344" t="s">
        <v>248</v>
      </c>
      <c r="E59" s="1080" t="s">
        <v>1841</v>
      </c>
      <c r="F59" s="1081"/>
      <c r="G59" s="341"/>
      <c r="H59" s="342" t="s">
        <v>1817</v>
      </c>
    </row>
    <row r="60" spans="2:8">
      <c r="B60" s="1074">
        <v>104</v>
      </c>
      <c r="C60" s="1077" t="s">
        <v>1828</v>
      </c>
      <c r="D60" s="344" t="s">
        <v>1829</v>
      </c>
      <c r="E60" s="1080" t="s">
        <v>1830</v>
      </c>
      <c r="F60" s="1081"/>
      <c r="G60" s="341"/>
      <c r="H60" s="341"/>
    </row>
    <row r="61" spans="2:8">
      <c r="B61" s="1075"/>
      <c r="C61" s="1078"/>
      <c r="D61" s="344" t="s">
        <v>1832</v>
      </c>
      <c r="E61" s="1080" t="s">
        <v>1833</v>
      </c>
      <c r="F61" s="1081"/>
      <c r="G61" s="341"/>
      <c r="H61" s="341"/>
    </row>
    <row r="62" spans="2:8">
      <c r="B62" s="1076"/>
      <c r="C62" s="1079"/>
      <c r="D62" s="344" t="s">
        <v>1834</v>
      </c>
      <c r="E62" s="358"/>
      <c r="F62" s="357"/>
      <c r="G62" s="341"/>
      <c r="H62" s="341"/>
    </row>
    <row r="63" spans="2:8">
      <c r="B63" s="359">
        <v>105</v>
      </c>
      <c r="C63" s="360" t="s">
        <v>11</v>
      </c>
      <c r="D63" s="344" t="s">
        <v>1842</v>
      </c>
      <c r="E63" s="1091" t="s">
        <v>1843</v>
      </c>
      <c r="F63" s="1092"/>
      <c r="G63" s="341"/>
      <c r="H63" s="348"/>
    </row>
    <row r="64" spans="2:8">
      <c r="B64" s="1074">
        <v>106</v>
      </c>
      <c r="C64" s="1077" t="s">
        <v>260</v>
      </c>
      <c r="D64" s="344" t="s">
        <v>1844</v>
      </c>
      <c r="E64" s="361" t="s">
        <v>1845</v>
      </c>
      <c r="F64" s="361" t="s">
        <v>1846</v>
      </c>
      <c r="G64" s="341"/>
      <c r="H64" s="348" t="s">
        <v>1847</v>
      </c>
    </row>
    <row r="65" spans="2:8">
      <c r="B65" s="1076"/>
      <c r="C65" s="1079"/>
      <c r="D65" s="344" t="s">
        <v>255</v>
      </c>
      <c r="E65" s="362" t="s">
        <v>1848</v>
      </c>
      <c r="F65" s="357"/>
      <c r="G65" s="349" t="s">
        <v>1849</v>
      </c>
      <c r="H65" s="351"/>
    </row>
    <row r="66" spans="2:8">
      <c r="B66" s="1074">
        <v>107</v>
      </c>
      <c r="C66" s="1077" t="s">
        <v>260</v>
      </c>
      <c r="D66" s="344" t="s">
        <v>1844</v>
      </c>
      <c r="E66" s="361" t="s">
        <v>1845</v>
      </c>
      <c r="F66" s="361" t="s">
        <v>1846</v>
      </c>
      <c r="G66" s="341"/>
      <c r="H66" s="348" t="s">
        <v>1847</v>
      </c>
    </row>
    <row r="67" spans="2:8">
      <c r="B67" s="1076"/>
      <c r="C67" s="1079"/>
      <c r="D67" s="344" t="s">
        <v>1850</v>
      </c>
      <c r="E67" s="358" t="s">
        <v>1851</v>
      </c>
      <c r="F67" s="357"/>
      <c r="G67" s="349" t="s">
        <v>1852</v>
      </c>
      <c r="H67" s="351"/>
    </row>
    <row r="68" spans="2:8">
      <c r="B68" s="1074">
        <v>108</v>
      </c>
      <c r="C68" s="1077" t="s">
        <v>260</v>
      </c>
      <c r="D68" s="344" t="s">
        <v>1844</v>
      </c>
      <c r="E68" s="361" t="s">
        <v>1845</v>
      </c>
      <c r="F68" s="361" t="s">
        <v>1846</v>
      </c>
      <c r="G68" s="341"/>
      <c r="H68" s="348" t="s">
        <v>1847</v>
      </c>
    </row>
    <row r="69" spans="2:8">
      <c r="B69" s="1076"/>
      <c r="C69" s="1079"/>
      <c r="D69" s="341" t="s">
        <v>1853</v>
      </c>
      <c r="E69" s="361" t="s">
        <v>1854</v>
      </c>
      <c r="F69" s="361" t="s">
        <v>1855</v>
      </c>
      <c r="G69" s="349" t="s">
        <v>1856</v>
      </c>
      <c r="H69" s="351"/>
    </row>
    <row r="70" spans="2:8">
      <c r="B70" s="1074">
        <v>109</v>
      </c>
      <c r="C70" s="1077" t="s">
        <v>272</v>
      </c>
      <c r="D70" s="344" t="s">
        <v>276</v>
      </c>
      <c r="E70" s="1080" t="s">
        <v>1857</v>
      </c>
      <c r="F70" s="1081"/>
      <c r="G70" s="349" t="s">
        <v>1858</v>
      </c>
      <c r="H70" s="351"/>
    </row>
    <row r="71" spans="2:8">
      <c r="B71" s="1076"/>
      <c r="C71" s="1079"/>
      <c r="D71" s="341" t="s">
        <v>278</v>
      </c>
      <c r="E71" s="1080" t="s">
        <v>1859</v>
      </c>
      <c r="F71" s="1081"/>
      <c r="G71" s="349" t="s">
        <v>1860</v>
      </c>
      <c r="H71" s="351"/>
    </row>
    <row r="72" spans="2:8">
      <c r="B72" s="1074">
        <v>110</v>
      </c>
      <c r="C72" s="1087" t="s">
        <v>1861</v>
      </c>
      <c r="D72" s="344" t="s">
        <v>280</v>
      </c>
      <c r="E72" s="1080" t="s">
        <v>1862</v>
      </c>
      <c r="F72" s="1081"/>
      <c r="G72" s="349" t="s">
        <v>1863</v>
      </c>
      <c r="H72" s="348"/>
    </row>
    <row r="73" spans="2:8">
      <c r="B73" s="1075"/>
      <c r="C73" s="1088"/>
      <c r="D73" s="344" t="s">
        <v>250</v>
      </c>
      <c r="E73" s="1080" t="s">
        <v>1864</v>
      </c>
      <c r="F73" s="1081"/>
      <c r="G73" s="341"/>
      <c r="H73" s="343"/>
    </row>
    <row r="74" spans="2:8">
      <c r="B74" s="350">
        <v>111</v>
      </c>
      <c r="C74" s="344" t="s">
        <v>293</v>
      </c>
      <c r="D74" s="344" t="s">
        <v>294</v>
      </c>
      <c r="E74" s="1089" t="s">
        <v>1865</v>
      </c>
      <c r="F74" s="1090"/>
      <c r="G74" s="341"/>
      <c r="H74" s="348" t="s">
        <v>1888</v>
      </c>
    </row>
    <row r="75" spans="2:8">
      <c r="B75" s="1074">
        <v>112</v>
      </c>
      <c r="C75" s="1077" t="s">
        <v>312</v>
      </c>
      <c r="D75" s="344" t="s">
        <v>1866</v>
      </c>
      <c r="E75" s="1080" t="s">
        <v>1867</v>
      </c>
      <c r="F75" s="1081"/>
      <c r="G75" s="341"/>
      <c r="H75" s="348"/>
    </row>
    <row r="76" spans="2:8">
      <c r="B76" s="1076"/>
      <c r="C76" s="1079"/>
      <c r="D76" s="344" t="s">
        <v>1868</v>
      </c>
      <c r="E76" s="1089" t="s">
        <v>1869</v>
      </c>
      <c r="F76" s="1090"/>
      <c r="G76" s="341"/>
      <c r="H76" s="348"/>
    </row>
    <row r="77" spans="2:8">
      <c r="B77" s="350">
        <v>113</v>
      </c>
      <c r="C77" s="344" t="s">
        <v>317</v>
      </c>
      <c r="D77" s="344" t="s">
        <v>1870</v>
      </c>
      <c r="E77" s="1072" t="s">
        <v>318</v>
      </c>
      <c r="F77" s="1072"/>
      <c r="G77" s="341"/>
      <c r="H77" s="352"/>
    </row>
    <row r="78" spans="2:8">
      <c r="B78" s="1074">
        <v>114</v>
      </c>
      <c r="C78" s="1077" t="s">
        <v>290</v>
      </c>
      <c r="D78" s="344" t="s">
        <v>291</v>
      </c>
      <c r="E78" s="1072" t="s">
        <v>292</v>
      </c>
      <c r="F78" s="1072"/>
      <c r="G78" s="341"/>
      <c r="H78" s="329" t="s">
        <v>1887</v>
      </c>
    </row>
    <row r="79" spans="2:8">
      <c r="B79" s="1076"/>
      <c r="C79" s="1079"/>
      <c r="D79" s="344" t="s">
        <v>1819</v>
      </c>
      <c r="E79" s="362"/>
      <c r="F79" s="363"/>
      <c r="G79" s="341"/>
      <c r="H79" s="353"/>
    </row>
    <row r="80" spans="2:8">
      <c r="B80" s="1074">
        <v>115</v>
      </c>
      <c r="C80" s="1077" t="s">
        <v>309</v>
      </c>
      <c r="D80" s="344" t="s">
        <v>287</v>
      </c>
      <c r="E80" s="1080" t="s">
        <v>1871</v>
      </c>
      <c r="F80" s="1081"/>
      <c r="G80" s="341"/>
      <c r="H80" s="348"/>
    </row>
    <row r="81" spans="2:8">
      <c r="B81" s="1076"/>
      <c r="C81" s="1079"/>
      <c r="D81" s="344" t="s">
        <v>280</v>
      </c>
      <c r="E81" s="362"/>
      <c r="F81" s="363"/>
      <c r="G81" s="341"/>
      <c r="H81" s="348"/>
    </row>
    <row r="82" spans="2:8">
      <c r="B82" s="1074">
        <v>116</v>
      </c>
      <c r="C82" s="344" t="s">
        <v>319</v>
      </c>
      <c r="D82" s="344"/>
      <c r="E82" s="1072" t="s">
        <v>320</v>
      </c>
      <c r="F82" s="1072"/>
      <c r="G82" s="349"/>
      <c r="H82" s="1068"/>
    </row>
    <row r="83" spans="2:8">
      <c r="B83" s="1075"/>
      <c r="C83" s="1077" t="s">
        <v>323</v>
      </c>
      <c r="D83" s="344" t="s">
        <v>269</v>
      </c>
      <c r="E83" s="1072" t="s">
        <v>327</v>
      </c>
      <c r="F83" s="1072"/>
      <c r="G83" s="349" t="s">
        <v>1872</v>
      </c>
      <c r="H83" s="1073"/>
    </row>
    <row r="84" spans="2:8">
      <c r="B84" s="1076"/>
      <c r="C84" s="1079"/>
      <c r="D84" s="344" t="s">
        <v>328</v>
      </c>
      <c r="E84" s="1072" t="s">
        <v>329</v>
      </c>
      <c r="F84" s="1072"/>
      <c r="G84" s="341"/>
      <c r="H84" s="1073"/>
    </row>
    <row r="85" spans="2:8">
      <c r="B85" s="350">
        <v>117</v>
      </c>
      <c r="C85" s="344" t="s">
        <v>1873</v>
      </c>
      <c r="D85" s="344" t="s">
        <v>250</v>
      </c>
      <c r="E85" s="1080" t="s">
        <v>1874</v>
      </c>
      <c r="F85" s="1081"/>
      <c r="G85" s="341"/>
      <c r="H85" s="341"/>
    </row>
    <row r="86" spans="2:8">
      <c r="B86" s="1074">
        <v>118</v>
      </c>
      <c r="C86" s="1082" t="s">
        <v>1875</v>
      </c>
      <c r="D86" s="344" t="s">
        <v>1876</v>
      </c>
      <c r="E86" s="1080" t="s">
        <v>1877</v>
      </c>
      <c r="F86" s="1081"/>
      <c r="G86" s="341"/>
      <c r="H86" s="341"/>
    </row>
    <row r="87" spans="2:8">
      <c r="B87" s="1075"/>
      <c r="C87" s="1083"/>
      <c r="D87" s="344" t="s">
        <v>284</v>
      </c>
      <c r="E87" s="1072" t="s">
        <v>285</v>
      </c>
      <c r="F87" s="1072"/>
      <c r="G87" s="341"/>
      <c r="H87" s="341"/>
    </row>
    <row r="88" spans="2:8">
      <c r="B88" s="1075"/>
      <c r="C88" s="1083"/>
      <c r="D88" s="344" t="s">
        <v>1842</v>
      </c>
      <c r="E88" s="1080" t="s">
        <v>1878</v>
      </c>
      <c r="F88" s="1081"/>
      <c r="G88" s="341"/>
      <c r="H88" s="341"/>
    </row>
    <row r="89" spans="2:8">
      <c r="B89" s="1076"/>
      <c r="C89" s="1084"/>
      <c r="D89" s="344" t="s">
        <v>287</v>
      </c>
      <c r="E89" s="1080" t="s">
        <v>1879</v>
      </c>
      <c r="F89" s="1081"/>
      <c r="G89" s="341"/>
      <c r="H89" s="341"/>
    </row>
    <row r="90" spans="2:8">
      <c r="B90" s="350">
        <v>119</v>
      </c>
      <c r="C90" s="360" t="s">
        <v>1663</v>
      </c>
      <c r="D90" s="344" t="s">
        <v>1842</v>
      </c>
      <c r="E90" s="1080" t="s">
        <v>1880</v>
      </c>
      <c r="F90" s="1081"/>
      <c r="G90" s="343"/>
      <c r="H90" s="341"/>
    </row>
    <row r="91" spans="2:8">
      <c r="B91" s="1074">
        <v>120</v>
      </c>
      <c r="C91" s="1077" t="s">
        <v>1881</v>
      </c>
      <c r="D91" s="344" t="s">
        <v>1882</v>
      </c>
      <c r="E91" s="1080" t="s">
        <v>1883</v>
      </c>
      <c r="F91" s="1081"/>
      <c r="G91" s="349" t="s">
        <v>1884</v>
      </c>
      <c r="H91" s="348"/>
    </row>
    <row r="92" spans="2:8">
      <c r="B92" s="1075"/>
      <c r="C92" s="1078"/>
      <c r="D92" s="344" t="s">
        <v>250</v>
      </c>
      <c r="E92" s="1080" t="s">
        <v>1885</v>
      </c>
      <c r="F92" s="1081"/>
      <c r="G92" s="349" t="s">
        <v>1886</v>
      </c>
      <c r="H92" s="348"/>
    </row>
    <row r="93" spans="2:8">
      <c r="B93" s="1076"/>
      <c r="C93" s="1079"/>
      <c r="D93" s="344" t="s">
        <v>250</v>
      </c>
      <c r="E93" s="1080" t="s">
        <v>1827</v>
      </c>
      <c r="F93" s="1081"/>
      <c r="G93" s="343"/>
      <c r="H93" s="341"/>
    </row>
  </sheetData>
  <mergeCells count="138">
    <mergeCell ref="C37:C38"/>
    <mergeCell ref="E37:F37"/>
    <mergeCell ref="E38:F38"/>
    <mergeCell ref="E39:F39"/>
    <mergeCell ref="B33:B34"/>
    <mergeCell ref="C33:C34"/>
    <mergeCell ref="E33:F33"/>
    <mergeCell ref="E34:F34"/>
    <mergeCell ref="C56:C57"/>
    <mergeCell ref="E57:F57"/>
    <mergeCell ref="E56:F56"/>
    <mergeCell ref="E53:F53"/>
    <mergeCell ref="B54:B55"/>
    <mergeCell ref="C54:C55"/>
    <mergeCell ref="E54:F54"/>
    <mergeCell ref="B44:B45"/>
    <mergeCell ref="C44:C45"/>
    <mergeCell ref="E46:F46"/>
    <mergeCell ref="B47:B49"/>
    <mergeCell ref="C47:C49"/>
    <mergeCell ref="E47:F47"/>
    <mergeCell ref="E48:F48"/>
    <mergeCell ref="H56:H57"/>
    <mergeCell ref="E27:F27"/>
    <mergeCell ref="B31:B32"/>
    <mergeCell ref="C31:C32"/>
    <mergeCell ref="E31:F31"/>
    <mergeCell ref="E32:F32"/>
    <mergeCell ref="E30:F30"/>
    <mergeCell ref="E28:F28"/>
    <mergeCell ref="E78:F78"/>
    <mergeCell ref="B70:B71"/>
    <mergeCell ref="C70:C71"/>
    <mergeCell ref="B75:B76"/>
    <mergeCell ref="C75:C76"/>
    <mergeCell ref="E77:F77"/>
    <mergeCell ref="E60:F60"/>
    <mergeCell ref="C78:C79"/>
    <mergeCell ref="E63:F63"/>
    <mergeCell ref="E76:F76"/>
    <mergeCell ref="E71:F71"/>
    <mergeCell ref="E72:F72"/>
    <mergeCell ref="E70:F70"/>
    <mergeCell ref="E61:F61"/>
    <mergeCell ref="B64:B65"/>
    <mergeCell ref="B66:B67"/>
    <mergeCell ref="H82:H84"/>
    <mergeCell ref="E93:F93"/>
    <mergeCell ref="C64:C65"/>
    <mergeCell ref="E91:F91"/>
    <mergeCell ref="B68:B69"/>
    <mergeCell ref="C68:C69"/>
    <mergeCell ref="B72:B73"/>
    <mergeCell ref="C72:C73"/>
    <mergeCell ref="C83:C84"/>
    <mergeCell ref="E83:F83"/>
    <mergeCell ref="E84:F84"/>
    <mergeCell ref="E87:F87"/>
    <mergeCell ref="E88:F88"/>
    <mergeCell ref="E90:F90"/>
    <mergeCell ref="E86:F86"/>
    <mergeCell ref="E80:F80"/>
    <mergeCell ref="C66:C67"/>
    <mergeCell ref="E74:F74"/>
    <mergeCell ref="E73:F73"/>
    <mergeCell ref="B78:B79"/>
    <mergeCell ref="E85:F85"/>
    <mergeCell ref="H54:H55"/>
    <mergeCell ref="E24:F24"/>
    <mergeCell ref="E25:F25"/>
    <mergeCell ref="E26:F26"/>
    <mergeCell ref="B17:B18"/>
    <mergeCell ref="C17:C18"/>
    <mergeCell ref="E17:F17"/>
    <mergeCell ref="E18:F18"/>
    <mergeCell ref="E19:F19"/>
    <mergeCell ref="B35:B36"/>
    <mergeCell ref="C35:C36"/>
    <mergeCell ref="E35:F35"/>
    <mergeCell ref="E36:F36"/>
    <mergeCell ref="B40:B43"/>
    <mergeCell ref="E40:F40"/>
    <mergeCell ref="H40:H43"/>
    <mergeCell ref="C41:C43"/>
    <mergeCell ref="E41:F41"/>
    <mergeCell ref="E42:F42"/>
    <mergeCell ref="E43:F43"/>
    <mergeCell ref="B28:B29"/>
    <mergeCell ref="C28:C29"/>
    <mergeCell ref="E29:F29"/>
    <mergeCell ref="B37:B38"/>
    <mergeCell ref="B14:B16"/>
    <mergeCell ref="C14:C16"/>
    <mergeCell ref="E14:F14"/>
    <mergeCell ref="E15:F15"/>
    <mergeCell ref="G15:G16"/>
    <mergeCell ref="E16:F16"/>
    <mergeCell ref="B20:B23"/>
    <mergeCell ref="C20:C23"/>
    <mergeCell ref="E20:F20"/>
    <mergeCell ref="E21:F21"/>
    <mergeCell ref="E22:F22"/>
    <mergeCell ref="E23:F23"/>
    <mergeCell ref="B60:B62"/>
    <mergeCell ref="C60:C62"/>
    <mergeCell ref="E82:F82"/>
    <mergeCell ref="B82:B84"/>
    <mergeCell ref="B58:B59"/>
    <mergeCell ref="C58:C59"/>
    <mergeCell ref="E58:F58"/>
    <mergeCell ref="B56:B57"/>
    <mergeCell ref="B91:B93"/>
    <mergeCell ref="C91:C93"/>
    <mergeCell ref="B80:B81"/>
    <mergeCell ref="C80:C81"/>
    <mergeCell ref="C86:C89"/>
    <mergeCell ref="B86:B89"/>
    <mergeCell ref="E89:F89"/>
    <mergeCell ref="E92:F92"/>
    <mergeCell ref="E75:F75"/>
    <mergeCell ref="E59:F59"/>
    <mergeCell ref="H7:H8"/>
    <mergeCell ref="E4:F4"/>
    <mergeCell ref="B5:B6"/>
    <mergeCell ref="C5:C6"/>
    <mergeCell ref="E5:F5"/>
    <mergeCell ref="H5:H6"/>
    <mergeCell ref="E9:F9"/>
    <mergeCell ref="E10:F10"/>
    <mergeCell ref="B11:B13"/>
    <mergeCell ref="C11:C13"/>
    <mergeCell ref="E11:F11"/>
    <mergeCell ref="E12:F12"/>
    <mergeCell ref="B7:B8"/>
    <mergeCell ref="C7:C8"/>
    <mergeCell ref="E7:F7"/>
    <mergeCell ref="G12:G13"/>
    <mergeCell ref="E13:F13"/>
  </mergeCells>
  <hyperlinks>
    <hyperlink ref="E5" r:id="rId1" location="direct" display="ISO 15009: 2012"/>
    <hyperlink ref="E13" r:id="rId2"/>
    <hyperlink ref="E15" r:id="rId3"/>
    <hyperlink ref="E16" r:id="rId4"/>
    <hyperlink ref="G5" r:id="rId5"/>
    <hyperlink ref="G7" r:id="rId6"/>
    <hyperlink ref="G11" r:id="rId7" display="S.II.1"/>
    <hyperlink ref="G15:G16" r:id="rId8" display="S.II.2.1"/>
    <hyperlink ref="G12:G13" r:id="rId9" display="S-II-2.2"/>
    <hyperlink ref="E9" r:id="rId10"/>
    <hyperlink ref="E10" r:id="rId11" location="direct"/>
    <hyperlink ref="G21" r:id="rId12"/>
    <hyperlink ref="G19" r:id="rId13"/>
    <hyperlink ref="E21" r:id="rId14"/>
    <hyperlink ref="E11" r:id="rId15" location="direct" display="NF EN 16174 "/>
    <hyperlink ref="G20" r:id="rId16" display="S.II.1"/>
    <hyperlink ref="G14" r:id="rId17" display="S.II.1"/>
    <hyperlink ref="E27" r:id="rId18"/>
    <hyperlink ref="E30" r:id="rId19" location="direct" display="CEN/TS 16190"/>
    <hyperlink ref="E28" r:id="rId20" location="direct"/>
    <hyperlink ref="E14" r:id="rId21" location="direct" display="NF EN 16174 "/>
    <hyperlink ref="E24" r:id="rId22" location="direct"/>
    <hyperlink ref="E7" r:id="rId23"/>
    <hyperlink ref="E31" r:id="rId24"/>
    <hyperlink ref="E32" r:id="rId25"/>
    <hyperlink ref="E19" r:id="rId26"/>
    <hyperlink ref="E25" r:id="rId27"/>
    <hyperlink ref="G17" r:id="rId28" display="S.II.1"/>
    <hyperlink ref="E39" r:id="rId29"/>
    <hyperlink ref="E23" r:id="rId30" location="direct"/>
    <hyperlink ref="E22" r:id="rId31"/>
    <hyperlink ref="E18" r:id="rId32" location="direct"/>
    <hyperlink ref="E37" r:id="rId33"/>
    <hyperlink ref="E38" r:id="rId34"/>
    <hyperlink ref="E35" r:id="rId35"/>
    <hyperlink ref="E36" r:id="rId36"/>
    <hyperlink ref="E33" r:id="rId37"/>
    <hyperlink ref="E34" r:id="rId38" location="direct"/>
    <hyperlink ref="E26" r:id="rId39" display="https://www.epa.gov/sites/production/files/2015-12/documents/8141b.pdf"/>
    <hyperlink ref="E40" r:id="rId40"/>
    <hyperlink ref="E42" r:id="rId41" location="direct" display="ISO 10304-1"/>
    <hyperlink ref="E41:F41" r:id="rId42" display="NBN EN 12457-2"/>
    <hyperlink ref="E12:F12" r:id="rId43" location="direct" display="NBN EN 16170 : 2016"/>
    <hyperlink ref="G33" r:id="rId44"/>
    <hyperlink ref="G34" r:id="rId45"/>
    <hyperlink ref="G32" r:id="rId46"/>
    <hyperlink ref="G40" r:id="rId47"/>
    <hyperlink ref="G41" r:id="rId48"/>
    <hyperlink ref="E43:F43" r:id="rId49" display="ISO 10359-1 : 1992"/>
    <hyperlink ref="E6" r:id="rId50" display="EPA 5035A et EPA 8260C"/>
    <hyperlink ref="F6" r:id="rId51"/>
    <hyperlink ref="E8" r:id="rId52"/>
    <hyperlink ref="F8" r:id="rId53"/>
    <hyperlink ref="F44" r:id="rId54"/>
    <hyperlink ref="F45" r:id="rId55"/>
    <hyperlink ref="E45" r:id="rId56"/>
    <hyperlink ref="E44" r:id="rId57"/>
    <hyperlink ref="E46:F46" r:id="rId58" display="MA. 400 - COSV 1.0"/>
    <hyperlink ref="E47" r:id="rId59" location="direct"/>
    <hyperlink ref="E48" r:id="rId60" location="direct" display="NBN EN ISO "/>
    <hyperlink ref="E60" r:id="rId61" location="direct"/>
    <hyperlink ref="E54:F54" r:id="rId62" location="direct" display="NBN EN ISO 15680"/>
    <hyperlink ref="E61" r:id="rId63" location="direct" display="NBN EN ISO "/>
    <hyperlink ref="E73" r:id="rId64"/>
    <hyperlink ref="E72" r:id="rId65" location="direct" display="NBN EN ISO 6468:1996"/>
    <hyperlink ref="E74" r:id="rId66"/>
    <hyperlink ref="E56:F56" r:id="rId67" display="ISO/DIS 20595"/>
    <hyperlink ref="E63" r:id="rId68" location="direct"/>
    <hyperlink ref="E70" r:id="rId69" location="direct"/>
    <hyperlink ref="E71" r:id="rId70" location="direct"/>
    <hyperlink ref="E65" r:id="rId71" location="direct"/>
    <hyperlink ref="E67" r:id="rId72" location="direct"/>
    <hyperlink ref="F69" r:id="rId73" location="direct"/>
    <hyperlink ref="E69" r:id="rId74" location="direct"/>
    <hyperlink ref="E64" r:id="rId75"/>
    <hyperlink ref="F64" r:id="rId76"/>
    <hyperlink ref="E66" r:id="rId77"/>
    <hyperlink ref="E68" r:id="rId78"/>
    <hyperlink ref="F66" r:id="rId79"/>
    <hyperlink ref="F68" r:id="rId80"/>
    <hyperlink ref="E78" r:id="rId81" location="direct"/>
    <hyperlink ref="E58:F58" r:id="rId82" location="direct" display="NBN EN 12673 : 1999"/>
    <hyperlink ref="E59:F59" r:id="rId83" display="MA. 400 - Phé 1.0"/>
    <hyperlink ref="G54" r:id="rId84"/>
    <hyperlink ref="G56" r:id="rId85"/>
    <hyperlink ref="G65" r:id="rId86"/>
    <hyperlink ref="G67" r:id="rId87"/>
    <hyperlink ref="G69" r:id="rId88"/>
    <hyperlink ref="G70" r:id="rId89"/>
    <hyperlink ref="G71" r:id="rId90"/>
    <hyperlink ref="G72" r:id="rId91"/>
    <hyperlink ref="E76" r:id="rId92" location="direct"/>
    <hyperlink ref="E75" r:id="rId93"/>
    <hyperlink ref="E77" r:id="rId94"/>
    <hyperlink ref="E80" r:id="rId95"/>
    <hyperlink ref="E83" r:id="rId96" location="direct" display="ISO 10304-1"/>
    <hyperlink ref="E84:F84" r:id="rId97" display="ISO 10359-1 : 1992"/>
    <hyperlink ref="E82" r:id="rId98"/>
    <hyperlink ref="E85:F85" r:id="rId99" display="EPA Méthode 522 EPA/600/R-08/101 "/>
    <hyperlink ref="E86" r:id="rId100"/>
    <hyperlink ref="E87" r:id="rId101" display="https://www.epa.gov/sites/production/files/2015-12/documents/8141b.pdf"/>
    <hyperlink ref="E57" r:id="rId102"/>
    <hyperlink ref="E90:F90" r:id="rId103" display="NBN EN 14207"/>
    <hyperlink ref="E88:F88" r:id="rId104" display="http://www.ceaeq.gouv.qc.ca/methodes/pdf/MA403Pest31.pdf"/>
    <hyperlink ref="E89" r:id="rId105" location="direct" display="NBN EN ISO 11369"/>
    <hyperlink ref="G83" r:id="rId106"/>
    <hyperlink ref="E93:F93" r:id="rId107" display="MA. 400 - COSV 1.0"/>
    <hyperlink ref="E91:F91" r:id="rId108" location="direct" display="NBN EN ISO 17993 : 2004"/>
    <hyperlink ref="E92:F92" r:id="rId109" display="ISO 28540:2011"/>
    <hyperlink ref="E17" r:id="rId110" location="direct" display="NF EN 16174 "/>
    <hyperlink ref="E20" r:id="rId111" location="direct" display="NF EN 16174 "/>
    <hyperlink ref="G42" r:id="rId112"/>
  </hyperlinks>
  <pageMargins left="0.70866141732283472" right="0.70866141732283472" top="0.74803149606299213" bottom="0.74803149606299213" header="0.31496062992125984" footer="0.31496062992125984"/>
  <pageSetup paperSize="9" scale="59" orientation="landscape" r:id="rId113"/>
  <headerFooter>
    <oddHeader>&amp;CListe méthodes et familles</oddHeader>
    <oddFooter>&amp;L&amp;F&amp;R&amp;D</oddFooter>
  </headerFooter>
</worksheet>
</file>

<file path=xl/worksheets/sheet6.xml><?xml version="1.0" encoding="utf-8"?>
<worksheet xmlns="http://schemas.openxmlformats.org/spreadsheetml/2006/main" xmlns:r="http://schemas.openxmlformats.org/officeDocument/2006/relationships">
  <sheetPr>
    <tabColor theme="3"/>
  </sheetPr>
  <dimension ref="A1:G39"/>
  <sheetViews>
    <sheetView topLeftCell="A19" workbookViewId="0">
      <selection activeCell="E14" sqref="E14"/>
    </sheetView>
  </sheetViews>
  <sheetFormatPr baseColWidth="10" defaultRowHeight="15"/>
  <sheetData>
    <row r="1" spans="1:7" s="534" customFormat="1"/>
    <row r="2" spans="1:7" s="534" customFormat="1" ht="18.75">
      <c r="A2" s="1159" t="s">
        <v>2556</v>
      </c>
      <c r="B2" s="1160"/>
      <c r="C2" s="1160"/>
      <c r="D2" s="1160"/>
      <c r="E2" s="1160"/>
      <c r="F2" s="1160"/>
      <c r="G2" s="1160"/>
    </row>
    <row r="4" spans="1:7">
      <c r="A4" s="1161" t="s">
        <v>2476</v>
      </c>
      <c r="B4" s="1160"/>
    </row>
    <row r="5" spans="1:7" s="534" customFormat="1"/>
    <row r="6" spans="1:7">
      <c r="A6" t="s">
        <v>2469</v>
      </c>
    </row>
    <row r="7" spans="1:7">
      <c r="A7" t="s">
        <v>2470</v>
      </c>
    </row>
    <row r="8" spans="1:7">
      <c r="A8" t="s">
        <v>2471</v>
      </c>
    </row>
    <row r="9" spans="1:7">
      <c r="A9" t="s">
        <v>2472</v>
      </c>
    </row>
    <row r="10" spans="1:7">
      <c r="A10" t="s">
        <v>2473</v>
      </c>
    </row>
    <row r="11" spans="1:7">
      <c r="A11" t="s">
        <v>2474</v>
      </c>
    </row>
    <row r="12" spans="1:7">
      <c r="A12" t="s">
        <v>2475</v>
      </c>
    </row>
    <row r="13" spans="1:7" s="534" customFormat="1"/>
    <row r="14" spans="1:7" s="534" customFormat="1">
      <c r="A14" s="1161" t="s">
        <v>2477</v>
      </c>
      <c r="B14" s="1160"/>
    </row>
    <row r="15" spans="1:7" s="534" customFormat="1"/>
    <row r="16" spans="1:7" s="125" customFormat="1">
      <c r="A16" s="125" t="s">
        <v>2494</v>
      </c>
    </row>
    <row r="17" spans="1:1" s="534" customFormat="1">
      <c r="A17" s="534" t="s">
        <v>2553</v>
      </c>
    </row>
    <row r="18" spans="1:1" s="534" customFormat="1">
      <c r="A18" s="534" t="s">
        <v>2478</v>
      </c>
    </row>
    <row r="19" spans="1:1" s="534" customFormat="1"/>
    <row r="20" spans="1:1" s="125" customFormat="1">
      <c r="A20" s="125" t="s">
        <v>2495</v>
      </c>
    </row>
    <row r="21" spans="1:1" s="534" customFormat="1">
      <c r="A21" s="534" t="s">
        <v>2479</v>
      </c>
    </row>
    <row r="22" spans="1:1" s="534" customFormat="1">
      <c r="A22" s="534" t="s">
        <v>2480</v>
      </c>
    </row>
    <row r="23" spans="1:1" s="534" customFormat="1">
      <c r="A23" s="534" t="s">
        <v>2484</v>
      </c>
    </row>
    <row r="24" spans="1:1" s="534" customFormat="1">
      <c r="A24" s="534" t="s">
        <v>2483</v>
      </c>
    </row>
    <row r="25" spans="1:1">
      <c r="A25" s="534" t="s">
        <v>2481</v>
      </c>
    </row>
    <row r="26" spans="1:1" s="534" customFormat="1"/>
    <row r="27" spans="1:1" s="125" customFormat="1">
      <c r="A27" s="125" t="s">
        <v>2496</v>
      </c>
    </row>
    <row r="28" spans="1:1">
      <c r="A28" s="534" t="s">
        <v>2482</v>
      </c>
    </row>
    <row r="29" spans="1:1" s="534" customFormat="1">
      <c r="A29" s="534" t="s">
        <v>2485</v>
      </c>
    </row>
    <row r="30" spans="1:1" s="534" customFormat="1"/>
    <row r="31" spans="1:1" s="125" customFormat="1">
      <c r="A31" s="125" t="s">
        <v>2497</v>
      </c>
    </row>
    <row r="32" spans="1:1" s="534" customFormat="1">
      <c r="A32" s="534" t="s">
        <v>2492</v>
      </c>
    </row>
    <row r="33" spans="1:2" s="534" customFormat="1">
      <c r="A33" s="534" t="s">
        <v>2493</v>
      </c>
    </row>
    <row r="34" spans="1:2" s="534" customFormat="1"/>
    <row r="35" spans="1:2" s="534" customFormat="1">
      <c r="A35" s="1161" t="s">
        <v>2486</v>
      </c>
      <c r="B35" s="1160"/>
    </row>
    <row r="36" spans="1:2" s="534" customFormat="1"/>
    <row r="37" spans="1:2">
      <c r="A37" s="534" t="s">
        <v>2487</v>
      </c>
    </row>
    <row r="38" spans="1:2">
      <c r="A38" s="534" t="s">
        <v>2488</v>
      </c>
    </row>
    <row r="39" spans="1:2" s="534" customFormat="1">
      <c r="A39" s="534" t="s">
        <v>2489</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tabColor theme="3"/>
  </sheetPr>
  <dimension ref="B1:P290"/>
  <sheetViews>
    <sheetView view="pageBreakPreview" zoomScale="55" zoomScaleNormal="60" zoomScaleSheetLayoutView="55" workbookViewId="0">
      <pane xSplit="2" topLeftCell="C1" activePane="topRight" state="frozen"/>
      <selection pane="topRight" activeCell="O288" sqref="O288"/>
    </sheetView>
  </sheetViews>
  <sheetFormatPr baseColWidth="10" defaultRowHeight="15"/>
  <cols>
    <col min="1" max="1" width="1.85546875" customWidth="1"/>
    <col min="2" max="2" width="11.85546875" style="288" customWidth="1"/>
    <col min="3" max="3" width="15.42578125" style="288" customWidth="1"/>
    <col min="4" max="4" width="50" style="298" bestFit="1" customWidth="1"/>
    <col min="5" max="9" width="20.7109375" style="997" customWidth="1"/>
    <col min="10" max="14" width="20.7109375" style="992" customWidth="1"/>
    <col min="15" max="15" width="148" style="582" customWidth="1"/>
    <col min="16" max="16" width="4.5703125" style="74" customWidth="1"/>
  </cols>
  <sheetData>
    <row r="1" spans="2:16" ht="9" customHeight="1"/>
    <row r="2" spans="2:16" ht="29.25" customHeight="1">
      <c r="B2" s="1102" t="s">
        <v>2490</v>
      </c>
      <c r="C2" s="1103"/>
      <c r="D2" s="1103"/>
      <c r="E2" s="1103"/>
      <c r="F2" s="1103"/>
      <c r="G2" s="1103"/>
      <c r="H2" s="1103"/>
      <c r="I2" s="1103"/>
      <c r="J2" s="1103"/>
      <c r="K2" s="1103"/>
      <c r="L2" s="1103"/>
      <c r="M2" s="1104"/>
      <c r="N2" s="985"/>
      <c r="O2" s="568"/>
      <c r="P2" s="58"/>
    </row>
    <row r="3" spans="2:16" ht="141.6" customHeight="1">
      <c r="B3" s="59" t="s">
        <v>450</v>
      </c>
      <c r="C3" s="59" t="s">
        <v>46</v>
      </c>
      <c r="D3" s="296" t="s">
        <v>496</v>
      </c>
      <c r="E3" s="998" t="s">
        <v>497</v>
      </c>
      <c r="F3" s="998" t="s">
        <v>1453</v>
      </c>
      <c r="G3" s="998" t="s">
        <v>498</v>
      </c>
      <c r="H3" s="998" t="s">
        <v>499</v>
      </c>
      <c r="I3" s="998" t="s">
        <v>500</v>
      </c>
      <c r="J3" s="988" t="s">
        <v>501</v>
      </c>
      <c r="K3" s="1000" t="s">
        <v>502</v>
      </c>
      <c r="L3" s="1000" t="s">
        <v>1377</v>
      </c>
      <c r="M3" s="988" t="s">
        <v>1361</v>
      </c>
      <c r="N3" s="988" t="s">
        <v>503</v>
      </c>
      <c r="O3" s="54" t="s">
        <v>504</v>
      </c>
      <c r="P3" s="58"/>
    </row>
    <row r="4" spans="2:16" s="631" customFormat="1">
      <c r="B4" s="649">
        <v>1</v>
      </c>
      <c r="C4" s="617" t="s">
        <v>198</v>
      </c>
      <c r="D4" s="741" t="s">
        <v>1579</v>
      </c>
      <c r="E4" s="990">
        <v>47210</v>
      </c>
      <c r="F4" s="990">
        <v>8441</v>
      </c>
      <c r="G4" s="990">
        <v>9345</v>
      </c>
      <c r="H4" s="990">
        <v>47210</v>
      </c>
      <c r="I4" s="990">
        <v>317000</v>
      </c>
      <c r="J4" s="990">
        <f>'[3]VLnappe - détail'!R3</f>
        <v>200</v>
      </c>
      <c r="K4" s="1003">
        <v>6750</v>
      </c>
      <c r="L4" s="1003"/>
      <c r="M4" s="990" t="s">
        <v>505</v>
      </c>
      <c r="N4" s="990">
        <f>J4*2</f>
        <v>400</v>
      </c>
      <c r="O4" s="733" t="s">
        <v>2433</v>
      </c>
      <c r="P4" s="627"/>
    </row>
    <row r="5" spans="2:16" s="1010" customFormat="1">
      <c r="B5" s="1011">
        <v>2</v>
      </c>
      <c r="C5" s="1004" t="s">
        <v>200</v>
      </c>
      <c r="D5" s="1041" t="s">
        <v>1582</v>
      </c>
      <c r="E5" s="995">
        <v>2015</v>
      </c>
      <c r="F5" s="995">
        <v>320.5</v>
      </c>
      <c r="G5" s="990">
        <v>426.2</v>
      </c>
      <c r="H5" s="990">
        <v>2015</v>
      </c>
      <c r="I5" s="990">
        <v>16560</v>
      </c>
      <c r="J5" s="990">
        <f>'[3]VLnappe - détail'!R4</f>
        <v>5</v>
      </c>
      <c r="K5" s="1003">
        <v>5.0625</v>
      </c>
      <c r="L5" s="1003"/>
      <c r="M5" s="990" t="s">
        <v>505</v>
      </c>
      <c r="N5" s="990">
        <f t="shared" ref="N5:N16" si="0">J5*2</f>
        <v>10</v>
      </c>
      <c r="O5" s="1015" t="s">
        <v>2505</v>
      </c>
      <c r="P5" s="1008"/>
    </row>
    <row r="6" spans="2:16" s="631" customFormat="1">
      <c r="B6" s="649">
        <v>3</v>
      </c>
      <c r="C6" s="617" t="s">
        <v>202</v>
      </c>
      <c r="D6" s="1041" t="s">
        <v>1587</v>
      </c>
      <c r="E6" s="990">
        <v>62590</v>
      </c>
      <c r="F6" s="990">
        <v>3308</v>
      </c>
      <c r="G6" s="990">
        <v>7663</v>
      </c>
      <c r="H6" s="990">
        <v>62590</v>
      </c>
      <c r="I6" s="990">
        <v>200500</v>
      </c>
      <c r="J6" s="990">
        <f>'[3]VLnappe - détail'!R5</f>
        <v>700</v>
      </c>
      <c r="K6" s="1003">
        <v>645.75</v>
      </c>
      <c r="L6" s="1003"/>
      <c r="M6" s="990" t="s">
        <v>505</v>
      </c>
      <c r="N6" s="990">
        <f t="shared" si="0"/>
        <v>1400</v>
      </c>
      <c r="O6" s="733" t="s">
        <v>2433</v>
      </c>
      <c r="P6" s="627"/>
    </row>
    <row r="7" spans="2:16">
      <c r="B7" s="121">
        <v>4</v>
      </c>
      <c r="C7" s="217" t="s">
        <v>203</v>
      </c>
      <c r="D7" s="1041" t="s">
        <v>1589</v>
      </c>
      <c r="E7" s="996">
        <f>'[3]VLH - détail'!F8</f>
        <v>327.25572697522205</v>
      </c>
      <c r="F7" s="996"/>
      <c r="G7" s="994">
        <f>'[3]VLH - détail'!I8</f>
        <v>122.10012210012211</v>
      </c>
      <c r="H7" s="994">
        <f>'[3]VLH - détail'!O8</f>
        <v>313.34932054356511</v>
      </c>
      <c r="I7" s="994">
        <f>'[3]VLH - détail'!P8</f>
        <v>313.34932054356511</v>
      </c>
      <c r="J7" s="990">
        <f>'[3]VLnappe - détail'!R6</f>
        <v>4</v>
      </c>
      <c r="K7" s="999">
        <v>71.099999999999994</v>
      </c>
      <c r="L7" s="999"/>
      <c r="M7" s="990" t="s">
        <v>505</v>
      </c>
      <c r="N7" s="990">
        <f t="shared" si="0"/>
        <v>8</v>
      </c>
      <c r="O7" s="489"/>
      <c r="P7" s="65"/>
    </row>
    <row r="8" spans="2:16" s="631" customFormat="1">
      <c r="B8" s="649">
        <v>5</v>
      </c>
      <c r="C8" s="617" t="s">
        <v>204</v>
      </c>
      <c r="D8" s="1041" t="s">
        <v>1620</v>
      </c>
      <c r="E8" s="1001">
        <v>466.7</v>
      </c>
      <c r="F8" s="1001">
        <v>55.26</v>
      </c>
      <c r="G8" s="1001">
        <v>86.64</v>
      </c>
      <c r="H8" s="990">
        <v>466.7</v>
      </c>
      <c r="I8" s="1016">
        <v>3476</v>
      </c>
      <c r="J8" s="990">
        <f>'[3]VLnappe - détail'!R7</f>
        <v>100</v>
      </c>
      <c r="K8" s="1003">
        <v>101.25</v>
      </c>
      <c r="L8" s="1003"/>
      <c r="M8" s="990" t="s">
        <v>505</v>
      </c>
      <c r="N8" s="990">
        <f t="shared" si="0"/>
        <v>200</v>
      </c>
      <c r="O8" s="733"/>
      <c r="P8" s="627"/>
    </row>
    <row r="9" spans="2:16">
      <c r="B9" s="121">
        <v>6</v>
      </c>
      <c r="C9" s="66" t="s">
        <v>205</v>
      </c>
      <c r="D9" s="1041" t="s">
        <v>1667</v>
      </c>
      <c r="E9" s="996">
        <f>'[3]VLH - détail'!F10</f>
        <v>52473.76311844078</v>
      </c>
      <c r="F9" s="996"/>
      <c r="G9" s="994">
        <f>'[3]VLH - détail'!I10</f>
        <v>34072.379310344826</v>
      </c>
      <c r="H9" s="994">
        <f>'[3]VLH - détail'!O10</f>
        <v>52473.76311844078</v>
      </c>
      <c r="I9" s="994">
        <f>'[3]VLH - détail'!P10</f>
        <v>311111.11111111112</v>
      </c>
      <c r="J9" s="990">
        <f>'[3]VLnappe - détail'!R8</f>
        <v>12000</v>
      </c>
      <c r="K9" s="999">
        <v>67500</v>
      </c>
      <c r="L9" s="999"/>
      <c r="M9" s="990" t="s">
        <v>505</v>
      </c>
      <c r="N9" s="990">
        <f t="shared" si="0"/>
        <v>24000</v>
      </c>
      <c r="O9" s="489"/>
      <c r="P9" s="65"/>
    </row>
    <row r="10" spans="2:16" s="631" customFormat="1">
      <c r="B10" s="649">
        <v>7</v>
      </c>
      <c r="C10" s="617" t="s">
        <v>206</v>
      </c>
      <c r="D10" s="1041" t="s">
        <v>1695</v>
      </c>
      <c r="E10" s="990">
        <v>36640</v>
      </c>
      <c r="F10" s="990">
        <v>3930</v>
      </c>
      <c r="G10" s="990">
        <v>5286</v>
      </c>
      <c r="H10" s="1017">
        <v>36640</v>
      </c>
      <c r="I10" s="1017">
        <v>74030</v>
      </c>
      <c r="J10" s="990">
        <f>'[3]VLnappe - détail'!R9</f>
        <v>400</v>
      </c>
      <c r="K10" s="1003">
        <v>585</v>
      </c>
      <c r="L10" s="1003"/>
      <c r="M10" s="990" t="s">
        <v>505</v>
      </c>
      <c r="N10" s="990">
        <f t="shared" si="0"/>
        <v>800</v>
      </c>
      <c r="O10" s="733"/>
      <c r="P10" s="627"/>
    </row>
    <row r="11" spans="2:16" s="631" customFormat="1">
      <c r="B11" s="649">
        <v>8</v>
      </c>
      <c r="C11" s="617" t="s">
        <v>207</v>
      </c>
      <c r="D11" s="1041" t="s">
        <v>1712</v>
      </c>
      <c r="E11" s="990">
        <v>1668</v>
      </c>
      <c r="F11" s="990">
        <v>3.056</v>
      </c>
      <c r="G11" s="990">
        <v>12.82</v>
      </c>
      <c r="H11" s="990">
        <v>1668</v>
      </c>
      <c r="I11" s="990">
        <v>12570</v>
      </c>
      <c r="J11" s="990">
        <f>'[3]VLnappe - détail'!R10</f>
        <v>300</v>
      </c>
      <c r="K11" s="1003">
        <v>135</v>
      </c>
      <c r="L11" s="1003"/>
      <c r="M11" s="990" t="s">
        <v>505</v>
      </c>
      <c r="N11" s="990">
        <f t="shared" si="0"/>
        <v>600</v>
      </c>
      <c r="O11" s="733"/>
      <c r="P11" s="627"/>
    </row>
    <row r="12" spans="2:16" s="631" customFormat="1">
      <c r="B12" s="649">
        <v>9</v>
      </c>
      <c r="C12" s="617" t="s">
        <v>208</v>
      </c>
      <c r="D12" s="1041" t="s">
        <v>1761</v>
      </c>
      <c r="E12" s="990">
        <v>1681</v>
      </c>
      <c r="F12" s="990">
        <v>7.907</v>
      </c>
      <c r="G12" s="990">
        <v>64.08</v>
      </c>
      <c r="H12" s="1017">
        <v>1681</v>
      </c>
      <c r="I12" s="1017">
        <v>13990</v>
      </c>
      <c r="J12" s="990">
        <f>'[3]VLnappe - détail'!R11</f>
        <v>10</v>
      </c>
      <c r="K12" s="1003">
        <v>28.090746674999998</v>
      </c>
      <c r="L12" s="1003"/>
      <c r="M12" s="990" t="s">
        <v>505</v>
      </c>
      <c r="N12" s="990">
        <f t="shared" si="0"/>
        <v>20</v>
      </c>
      <c r="O12" s="733"/>
      <c r="P12" s="627"/>
    </row>
    <row r="13" spans="2:16" ht="30">
      <c r="B13" s="121">
        <v>10</v>
      </c>
      <c r="C13" s="217" t="s">
        <v>210</v>
      </c>
      <c r="D13" s="1041" t="s">
        <v>1780</v>
      </c>
      <c r="E13" s="996">
        <f>'[3]VLH - détail'!F14</f>
        <v>787106.44677661173</v>
      </c>
      <c r="F13" s="996"/>
      <c r="G13" s="994">
        <f>'[3]VLH - détail'!I14</f>
        <v>248.59103296351958</v>
      </c>
      <c r="H13" s="994">
        <f>'[3]VLH - détail'!O14</f>
        <v>787106.44677661173</v>
      </c>
      <c r="I13" s="994">
        <f>'[3]VLH - détail'!P14</f>
        <v>1000000</v>
      </c>
      <c r="J13" s="990">
        <f>'[3]VLnappe - détail'!R12</f>
        <v>18000</v>
      </c>
      <c r="K13" s="1003" t="s">
        <v>506</v>
      </c>
      <c r="L13" s="1018" t="s">
        <v>1378</v>
      </c>
      <c r="M13" s="990" t="s">
        <v>505</v>
      </c>
      <c r="N13" s="990">
        <f t="shared" si="0"/>
        <v>36000</v>
      </c>
      <c r="O13" s="489"/>
      <c r="P13" s="65"/>
    </row>
    <row r="14" spans="2:16" s="1010" customFormat="1">
      <c r="B14" s="1011">
        <v>11</v>
      </c>
      <c r="C14" s="1009" t="s">
        <v>211</v>
      </c>
      <c r="D14" s="1041" t="s">
        <v>1784</v>
      </c>
      <c r="E14" s="995">
        <v>673.5</v>
      </c>
      <c r="F14" s="995">
        <v>131.69999999999999</v>
      </c>
      <c r="G14" s="990">
        <v>136.80000000000001</v>
      </c>
      <c r="H14" s="990">
        <v>673.5</v>
      </c>
      <c r="I14" s="990">
        <v>4480</v>
      </c>
      <c r="J14" s="990">
        <f>'[3]VLnappe - détail'!R13</f>
        <v>50</v>
      </c>
      <c r="K14" s="1003">
        <v>1125</v>
      </c>
      <c r="L14" s="1003"/>
      <c r="M14" s="990" t="s">
        <v>505</v>
      </c>
      <c r="N14" s="990">
        <f t="shared" si="0"/>
        <v>100</v>
      </c>
      <c r="O14" s="1015" t="s">
        <v>2505</v>
      </c>
      <c r="P14" s="1008"/>
    </row>
    <row r="15" spans="2:16" ht="33.75" customHeight="1">
      <c r="B15" s="121">
        <v>12</v>
      </c>
      <c r="C15" s="221" t="s">
        <v>338</v>
      </c>
      <c r="D15" s="1041" t="s">
        <v>1467</v>
      </c>
      <c r="E15" s="990">
        <v>393.6</v>
      </c>
      <c r="F15" s="990">
        <v>0.2046</v>
      </c>
      <c r="G15" s="990">
        <v>0.21909999999999999</v>
      </c>
      <c r="H15" s="990">
        <v>1.99</v>
      </c>
      <c r="I15" s="990">
        <v>1.99</v>
      </c>
      <c r="J15" s="990">
        <f>'[3]VLnappe - détail'!R14</f>
        <v>330</v>
      </c>
      <c r="K15" s="1003">
        <v>4.1147</v>
      </c>
      <c r="L15" s="1003"/>
      <c r="M15" s="990">
        <v>484.4</v>
      </c>
      <c r="N15" s="990">
        <f t="shared" si="0"/>
        <v>660</v>
      </c>
      <c r="O15" s="297"/>
      <c r="P15" s="65"/>
    </row>
    <row r="16" spans="2:16" s="631" customFormat="1" ht="79.5" customHeight="1">
      <c r="B16" s="649">
        <v>13</v>
      </c>
      <c r="C16" s="618" t="s">
        <v>508</v>
      </c>
      <c r="D16" s="1041" t="s">
        <v>1740</v>
      </c>
      <c r="E16" s="990">
        <v>4.4349999999999996</v>
      </c>
      <c r="F16" s="990">
        <v>0.24</v>
      </c>
      <c r="G16" s="990">
        <v>0.24</v>
      </c>
      <c r="H16" s="990">
        <v>4.4349999999999996</v>
      </c>
      <c r="I16" s="990">
        <v>29.31</v>
      </c>
      <c r="J16" s="990">
        <f>'[3]VLnappe - détail'!R15</f>
        <v>0.1</v>
      </c>
      <c r="K16" s="1019">
        <v>1.19</v>
      </c>
      <c r="L16" s="1018" t="s">
        <v>2197</v>
      </c>
      <c r="M16" s="987">
        <v>160.80000000000001</v>
      </c>
      <c r="N16" s="990">
        <f t="shared" si="0"/>
        <v>0.2</v>
      </c>
      <c r="O16" s="733" t="s">
        <v>2498</v>
      </c>
      <c r="P16" s="627"/>
    </row>
    <row r="17" spans="2:16">
      <c r="B17" s="121">
        <v>14</v>
      </c>
      <c r="C17" s="217" t="s">
        <v>66</v>
      </c>
      <c r="D17" s="1041" t="s">
        <v>1612</v>
      </c>
      <c r="E17" s="1020">
        <v>297.5</v>
      </c>
      <c r="F17" s="1020">
        <v>0.20569999999999999</v>
      </c>
      <c r="G17" s="1020">
        <v>0.20669999999999999</v>
      </c>
      <c r="H17" s="1020">
        <v>2.359</v>
      </c>
      <c r="I17" s="1020">
        <v>2.4119999999999999</v>
      </c>
      <c r="J17" s="990">
        <f>'[3]VLnappe - détail'!R16</f>
        <v>300</v>
      </c>
      <c r="K17" s="1019">
        <v>12.3591</v>
      </c>
      <c r="L17" s="1003"/>
      <c r="M17" s="990">
        <v>341.9</v>
      </c>
      <c r="N17" s="990">
        <f>J17*2</f>
        <v>600</v>
      </c>
      <c r="O17" s="223"/>
      <c r="P17" s="65"/>
    </row>
    <row r="18" spans="2:16">
      <c r="B18" s="121">
        <v>15</v>
      </c>
      <c r="C18" s="217" t="s">
        <v>71</v>
      </c>
      <c r="D18" s="1041" t="s">
        <v>1479</v>
      </c>
      <c r="E18" s="1020">
        <v>41140</v>
      </c>
      <c r="F18" s="1020">
        <v>6.0119999999999996</v>
      </c>
      <c r="G18" s="1020">
        <v>6.1029999999999998</v>
      </c>
      <c r="H18" s="1020">
        <v>71.12</v>
      </c>
      <c r="I18" s="1020">
        <v>72.53</v>
      </c>
      <c r="J18" s="990">
        <f>'[3]VLnappe - détail'!R17</f>
        <v>1000</v>
      </c>
      <c r="K18" s="1021">
        <v>90.233934022580357</v>
      </c>
      <c r="L18" s="1003"/>
      <c r="M18" s="990">
        <v>4545</v>
      </c>
      <c r="N18" s="990">
        <f t="shared" ref="N18:N71" si="1">J18*2</f>
        <v>2000</v>
      </c>
      <c r="O18" s="223"/>
      <c r="P18" s="65"/>
    </row>
    <row r="19" spans="2:16">
      <c r="B19" s="121">
        <v>16</v>
      </c>
      <c r="C19" s="217" t="s">
        <v>72</v>
      </c>
      <c r="D19" s="1041" t="s">
        <v>1483</v>
      </c>
      <c r="E19" s="1020">
        <v>195200</v>
      </c>
      <c r="F19" s="1020">
        <v>10.78</v>
      </c>
      <c r="G19" s="1020">
        <v>10.82</v>
      </c>
      <c r="H19" s="1020">
        <v>123.3</v>
      </c>
      <c r="I19" s="1020">
        <v>126.3</v>
      </c>
      <c r="J19" s="990">
        <f>'[3]VLnappe - détail'!R18</f>
        <v>1000</v>
      </c>
      <c r="K19" s="1021">
        <v>148.7291342572062</v>
      </c>
      <c r="L19" s="1003"/>
      <c r="M19" s="990">
        <v>4753</v>
      </c>
      <c r="N19" s="990">
        <f t="shared" si="1"/>
        <v>2000</v>
      </c>
      <c r="O19" s="223"/>
      <c r="P19" s="65"/>
    </row>
    <row r="20" spans="2:16">
      <c r="B20" s="121">
        <v>17</v>
      </c>
      <c r="C20" s="217" t="s">
        <v>73</v>
      </c>
      <c r="D20" s="1041" t="s">
        <v>1484</v>
      </c>
      <c r="E20" s="1020">
        <v>345.1</v>
      </c>
      <c r="F20" s="1020">
        <v>0.31340000000000001</v>
      </c>
      <c r="G20" s="1020">
        <v>0.36420000000000002</v>
      </c>
      <c r="H20" s="1020">
        <v>3.9969999999999999</v>
      </c>
      <c r="I20" s="1020">
        <v>3.9969999999999999</v>
      </c>
      <c r="J20" s="990">
        <f>'[3]VLnappe - détail'!R19</f>
        <v>300</v>
      </c>
      <c r="K20" s="1021">
        <v>32.141332189650591</v>
      </c>
      <c r="L20" s="1003"/>
      <c r="M20" s="990">
        <v>336.4</v>
      </c>
      <c r="N20" s="990">
        <f t="shared" si="1"/>
        <v>600</v>
      </c>
      <c r="O20" s="223"/>
      <c r="P20" s="65"/>
    </row>
    <row r="21" spans="2:16" s="631" customFormat="1">
      <c r="B21" s="649">
        <v>18</v>
      </c>
      <c r="C21" s="617" t="s">
        <v>85</v>
      </c>
      <c r="D21" s="1041" t="s">
        <v>1471</v>
      </c>
      <c r="E21" s="990">
        <v>2587</v>
      </c>
      <c r="F21" s="990">
        <v>35.380000000000003</v>
      </c>
      <c r="G21" s="990">
        <v>49.36</v>
      </c>
      <c r="H21" s="990">
        <v>2587</v>
      </c>
      <c r="I21" s="990">
        <v>20160</v>
      </c>
      <c r="J21" s="990">
        <f>'[3]VLnappe - détail'!R20</f>
        <v>7</v>
      </c>
      <c r="K21" s="1019">
        <v>3.2648000000000001</v>
      </c>
      <c r="L21" s="1003"/>
      <c r="M21" s="990">
        <v>34620</v>
      </c>
      <c r="N21" s="990">
        <f t="shared" si="1"/>
        <v>14</v>
      </c>
      <c r="O21" s="734"/>
      <c r="P21" s="627"/>
    </row>
    <row r="22" spans="2:16">
      <c r="B22" s="121">
        <v>19</v>
      </c>
      <c r="C22" s="217" t="s">
        <v>86</v>
      </c>
      <c r="D22" s="1041" t="s">
        <v>1472</v>
      </c>
      <c r="E22" s="1020">
        <v>766.9</v>
      </c>
      <c r="F22" s="1020">
        <v>3.0449999999999999</v>
      </c>
      <c r="G22" s="1020">
        <v>3.6389999999999998</v>
      </c>
      <c r="H22" s="1020">
        <v>66.92</v>
      </c>
      <c r="I22" s="1020">
        <v>66.92</v>
      </c>
      <c r="J22" s="990">
        <f>'[3]VLnappe - détail'!R21</f>
        <v>1.2</v>
      </c>
      <c r="K22" s="1003">
        <v>0.39700000000000002</v>
      </c>
      <c r="L22" s="1003"/>
      <c r="M22" s="990">
        <v>394</v>
      </c>
      <c r="N22" s="990">
        <f t="shared" si="1"/>
        <v>2.4</v>
      </c>
      <c r="O22" s="223"/>
      <c r="P22" s="65"/>
    </row>
    <row r="23" spans="2:16" s="631" customFormat="1">
      <c r="B23" s="649">
        <v>20</v>
      </c>
      <c r="C23" s="617" t="s">
        <v>87</v>
      </c>
      <c r="D23" s="1041" t="s">
        <v>1480</v>
      </c>
      <c r="E23" s="990">
        <v>2560</v>
      </c>
      <c r="F23" s="990">
        <v>10.02</v>
      </c>
      <c r="G23" s="990">
        <v>10.64</v>
      </c>
      <c r="H23" s="990">
        <v>139.30000000000001</v>
      </c>
      <c r="I23" s="990">
        <v>141.5</v>
      </c>
      <c r="J23" s="990">
        <v>9</v>
      </c>
      <c r="K23" s="1003">
        <v>6.1980000000000004</v>
      </c>
      <c r="L23" s="1003"/>
      <c r="M23" s="990">
        <v>970.8</v>
      </c>
      <c r="N23" s="990">
        <f t="shared" si="1"/>
        <v>18</v>
      </c>
      <c r="O23" s="734"/>
      <c r="P23" s="627"/>
    </row>
    <row r="24" spans="2:16">
      <c r="B24" s="121">
        <v>21</v>
      </c>
      <c r="C24" s="217" t="s">
        <v>115</v>
      </c>
      <c r="D24" s="1041" t="s">
        <v>1469</v>
      </c>
      <c r="E24" s="1020">
        <v>1669</v>
      </c>
      <c r="F24" s="1020">
        <v>10.83</v>
      </c>
      <c r="G24" s="1020">
        <v>11.94</v>
      </c>
      <c r="H24" s="1020">
        <v>169.4</v>
      </c>
      <c r="I24" s="1020">
        <v>170.8</v>
      </c>
      <c r="J24" s="990">
        <v>20</v>
      </c>
      <c r="K24" s="1003">
        <v>28.630800000000001</v>
      </c>
      <c r="L24" s="1003"/>
      <c r="M24" s="990">
        <v>230.1</v>
      </c>
      <c r="N24" s="990">
        <f t="shared" si="1"/>
        <v>40</v>
      </c>
      <c r="O24" s="223"/>
      <c r="P24" s="65"/>
    </row>
    <row r="25" spans="2:16">
      <c r="B25" s="121">
        <v>22</v>
      </c>
      <c r="C25" s="490" t="s">
        <v>116</v>
      </c>
      <c r="D25" s="1041" t="s">
        <v>1474</v>
      </c>
      <c r="E25" s="996">
        <f>'[3]VLH - détail'!F33</f>
        <v>37.608622134434668</v>
      </c>
      <c r="F25" s="996"/>
      <c r="G25" s="994">
        <f>'[3]VLH - détail'!I33</f>
        <v>1.4490957168462656E-2</v>
      </c>
      <c r="H25" s="994">
        <f>'[3]VLH - détail'!O33</f>
        <v>2.1722360715247473</v>
      </c>
      <c r="I25" s="994">
        <f>'[3]VLH - détail'!P33</f>
        <v>110.26705361566367</v>
      </c>
      <c r="J25" s="990">
        <f>'[3]VLnappe - détail'!R24</f>
        <v>1.7</v>
      </c>
      <c r="K25" s="1003">
        <v>0.60670000000000002</v>
      </c>
      <c r="L25" s="1003"/>
      <c r="M25" s="990" t="s">
        <v>511</v>
      </c>
      <c r="N25" s="990">
        <f t="shared" si="1"/>
        <v>3.4</v>
      </c>
      <c r="O25" s="223"/>
      <c r="P25" s="65"/>
    </row>
    <row r="26" spans="2:16">
      <c r="B26" s="121">
        <v>23</v>
      </c>
      <c r="C26" s="217" t="s">
        <v>117</v>
      </c>
      <c r="D26" s="1041" t="s">
        <v>1742</v>
      </c>
      <c r="E26" s="1020">
        <v>400.5</v>
      </c>
      <c r="F26" s="1020">
        <v>11.76</v>
      </c>
      <c r="G26" s="1020">
        <v>19.78</v>
      </c>
      <c r="H26" s="1020">
        <v>400.5</v>
      </c>
      <c r="I26" s="1020">
        <v>2316</v>
      </c>
      <c r="J26" s="990">
        <f>'[3]VLnappe - détail'!R25</f>
        <v>2.4</v>
      </c>
      <c r="K26" s="1003">
        <v>10.100899999999999</v>
      </c>
      <c r="L26" s="1003"/>
      <c r="M26" s="990">
        <v>2640</v>
      </c>
      <c r="N26" s="990">
        <f t="shared" si="1"/>
        <v>4.8</v>
      </c>
      <c r="O26" s="223"/>
      <c r="P26" s="65"/>
    </row>
    <row r="27" spans="2:16">
      <c r="B27" s="121">
        <v>24</v>
      </c>
      <c r="C27" s="217" t="s">
        <v>118</v>
      </c>
      <c r="D27" s="1013" t="s">
        <v>1680</v>
      </c>
      <c r="E27" s="1020">
        <v>12.19</v>
      </c>
      <c r="F27" s="1020">
        <v>0.22539999999999999</v>
      </c>
      <c r="G27" s="1020">
        <v>0.7036</v>
      </c>
      <c r="H27" s="1020">
        <v>12.19</v>
      </c>
      <c r="I27" s="1020">
        <v>20.51</v>
      </c>
      <c r="J27" s="990">
        <f>'[3]VLnappe - détail'!R26</f>
        <v>1</v>
      </c>
      <c r="K27" s="1003">
        <v>10.2966</v>
      </c>
      <c r="L27" s="1003"/>
      <c r="M27" s="987">
        <v>42.5</v>
      </c>
      <c r="N27" s="990">
        <f t="shared" si="1"/>
        <v>2</v>
      </c>
      <c r="O27" s="223"/>
      <c r="P27" s="67"/>
    </row>
    <row r="28" spans="2:16" s="1010" customFormat="1">
      <c r="B28" s="1011">
        <v>25</v>
      </c>
      <c r="C28" s="1004" t="s">
        <v>88</v>
      </c>
      <c r="D28" s="1002" t="s">
        <v>1623</v>
      </c>
      <c r="E28" s="1022">
        <v>16770</v>
      </c>
      <c r="F28" s="1022">
        <v>25.25</v>
      </c>
      <c r="G28" s="1022">
        <v>39.049999999999997</v>
      </c>
      <c r="H28" s="1017">
        <v>3275</v>
      </c>
      <c r="I28" s="1017">
        <v>3275</v>
      </c>
      <c r="J28" s="990">
        <f>'[3]VLnappe - détail'!R27</f>
        <v>930</v>
      </c>
      <c r="K28" s="1023">
        <v>8.5040413475113308</v>
      </c>
      <c r="L28" s="1003"/>
      <c r="M28" s="990">
        <v>13970000</v>
      </c>
      <c r="N28" s="990">
        <f t="shared" si="1"/>
        <v>1860</v>
      </c>
      <c r="O28" s="1012" t="s">
        <v>2433</v>
      </c>
      <c r="P28" s="1008"/>
    </row>
    <row r="29" spans="2:16" s="1010" customFormat="1">
      <c r="B29" s="1011">
        <v>26</v>
      </c>
      <c r="C29" s="1004" t="s">
        <v>89</v>
      </c>
      <c r="D29" s="1002" t="s">
        <v>1622</v>
      </c>
      <c r="E29" s="1022">
        <v>16770</v>
      </c>
      <c r="F29" s="1022">
        <v>24.46</v>
      </c>
      <c r="G29" s="1022">
        <v>38.590000000000003</v>
      </c>
      <c r="H29" s="1017">
        <v>3357</v>
      </c>
      <c r="I29" s="1017">
        <v>3341</v>
      </c>
      <c r="J29" s="990">
        <f>'[3]VLnappe - détail'!R28</f>
        <v>930</v>
      </c>
      <c r="K29" s="1023">
        <v>10.9889783558412</v>
      </c>
      <c r="L29" s="1003"/>
      <c r="M29" s="990">
        <v>23780000</v>
      </c>
      <c r="N29" s="990">
        <f t="shared" si="1"/>
        <v>1860</v>
      </c>
      <c r="O29" s="1012" t="s">
        <v>2433</v>
      </c>
      <c r="P29" s="1008"/>
    </row>
    <row r="30" spans="2:16" s="1010" customFormat="1">
      <c r="B30" s="1011">
        <v>27</v>
      </c>
      <c r="C30" s="1004" t="s">
        <v>90</v>
      </c>
      <c r="D30" s="1002" t="s">
        <v>1621</v>
      </c>
      <c r="E30" s="1022">
        <v>6717</v>
      </c>
      <c r="F30" s="1022">
        <v>9.3239999999999998</v>
      </c>
      <c r="G30" s="1022">
        <v>15.09</v>
      </c>
      <c r="H30" s="1017">
        <v>6717</v>
      </c>
      <c r="I30" s="1017">
        <v>55850</v>
      </c>
      <c r="J30" s="990">
        <f>'[3]VLnappe - détail'!R29</f>
        <v>1900</v>
      </c>
      <c r="K30" s="1023">
        <v>52.498229561912801</v>
      </c>
      <c r="L30" s="1003"/>
      <c r="M30" s="990">
        <v>32950000</v>
      </c>
      <c r="N30" s="990">
        <f t="shared" si="1"/>
        <v>3800</v>
      </c>
      <c r="O30" s="1012" t="s">
        <v>2433</v>
      </c>
      <c r="P30" s="1008"/>
    </row>
    <row r="31" spans="2:16" s="1010" customFormat="1" ht="48.75" customHeight="1">
      <c r="B31" s="1011">
        <v>28</v>
      </c>
      <c r="C31" s="1005" t="s">
        <v>340</v>
      </c>
      <c r="D31" s="1013" t="s">
        <v>1766</v>
      </c>
      <c r="E31" s="1017">
        <v>6717</v>
      </c>
      <c r="F31" s="1017">
        <v>9.3239999999999998</v>
      </c>
      <c r="G31" s="1017">
        <v>15.09</v>
      </c>
      <c r="H31" s="1017">
        <v>3275</v>
      </c>
      <c r="I31" s="1017">
        <v>3275</v>
      </c>
      <c r="J31" s="1024" t="s">
        <v>589</v>
      </c>
      <c r="K31" s="1024" t="s">
        <v>589</v>
      </c>
      <c r="L31" s="1024"/>
      <c r="M31" s="987" t="s">
        <v>509</v>
      </c>
      <c r="N31" s="1024" t="s">
        <v>589</v>
      </c>
      <c r="O31" s="1012" t="s">
        <v>2433</v>
      </c>
      <c r="P31" s="1008"/>
    </row>
    <row r="32" spans="2:16">
      <c r="B32" s="121">
        <v>29</v>
      </c>
      <c r="C32" s="217" t="s">
        <v>91</v>
      </c>
      <c r="D32" s="1041" t="s">
        <v>1543</v>
      </c>
      <c r="E32" s="996">
        <f>'[3]VLH - détail'!F40</f>
        <v>4670.6049207358301</v>
      </c>
      <c r="F32" s="996"/>
      <c r="G32" s="994">
        <f>'[3]VLH - détail'!I40</f>
        <v>3.9468827298432525</v>
      </c>
      <c r="H32" s="994">
        <f>'[3]VLH - détail'!O40</f>
        <v>4670.6049207358301</v>
      </c>
      <c r="I32" s="994">
        <f>'[3]VLH - détail'!P40</f>
        <v>21362.868152519542</v>
      </c>
      <c r="J32" s="990">
        <f>'[3]VLnappe - détail'!R31</f>
        <v>360</v>
      </c>
      <c r="K32" s="1003">
        <v>17.303699999999999</v>
      </c>
      <c r="L32" s="1003"/>
      <c r="M32" s="990" t="s">
        <v>511</v>
      </c>
      <c r="N32" s="990">
        <f t="shared" si="1"/>
        <v>720</v>
      </c>
      <c r="O32" s="223"/>
      <c r="P32" s="65"/>
    </row>
    <row r="33" spans="2:16" s="68" customFormat="1" ht="45" customHeight="1">
      <c r="B33" s="121">
        <v>30</v>
      </c>
      <c r="C33" s="217" t="s">
        <v>92</v>
      </c>
      <c r="D33" s="1041" t="s">
        <v>1544</v>
      </c>
      <c r="E33" s="1096" t="s">
        <v>506</v>
      </c>
      <c r="F33" s="1097"/>
      <c r="G33" s="1097"/>
      <c r="H33" s="1097"/>
      <c r="I33" s="1098"/>
      <c r="J33" s="990" t="str">
        <f>'[3]VLnappe - détail'!R32</f>
        <v>NA</v>
      </c>
      <c r="K33" s="1023" t="s">
        <v>506</v>
      </c>
      <c r="L33" s="1024" t="s">
        <v>1379</v>
      </c>
      <c r="M33" s="990" t="s">
        <v>507</v>
      </c>
      <c r="N33" s="990" t="s">
        <v>506</v>
      </c>
      <c r="O33" s="223" t="s">
        <v>536</v>
      </c>
      <c r="P33" s="65"/>
    </row>
    <row r="34" spans="2:16">
      <c r="B34" s="121">
        <v>31</v>
      </c>
      <c r="C34" s="217" t="s">
        <v>93</v>
      </c>
      <c r="D34" s="1041" t="s">
        <v>1545</v>
      </c>
      <c r="E34" s="996">
        <f>'[3]VLH - détail'!F42</f>
        <v>140.1181476220749</v>
      </c>
      <c r="F34" s="996"/>
      <c r="G34" s="994">
        <f>'[3]VLH - détail'!I42</f>
        <v>6.2492178047313204E-2</v>
      </c>
      <c r="H34" s="994">
        <f>'[3]VLH - détail'!O42</f>
        <v>140.1181476220749</v>
      </c>
      <c r="I34" s="994">
        <f>'[3]VLH - détail'!P42</f>
        <v>640.8860445755862</v>
      </c>
      <c r="J34" s="990">
        <f>'[3]VLnappe - détail'!R33</f>
        <v>11</v>
      </c>
      <c r="K34" s="1003">
        <v>0.27379999999999999</v>
      </c>
      <c r="L34" s="1003"/>
      <c r="M34" s="990" t="s">
        <v>511</v>
      </c>
      <c r="N34" s="990">
        <f t="shared" si="1"/>
        <v>22</v>
      </c>
      <c r="O34" s="223"/>
      <c r="P34" s="65"/>
    </row>
    <row r="35" spans="2:16">
      <c r="B35" s="121">
        <v>32</v>
      </c>
      <c r="C35" s="217" t="s">
        <v>94</v>
      </c>
      <c r="D35" s="1041" t="s">
        <v>1515</v>
      </c>
      <c r="E35" s="996">
        <f>'[3]VLH - détail'!F43</f>
        <v>233.53024603679154</v>
      </c>
      <c r="F35" s="996"/>
      <c r="G35" s="994">
        <f>'[3]VLH - détail'!I43</f>
        <v>0.20529203724157971</v>
      </c>
      <c r="H35" s="994">
        <f>'[3]VLH - détail'!O43</f>
        <v>233.53024603679154</v>
      </c>
      <c r="I35" s="994">
        <f>'[3]VLH - détail'!P43</f>
        <v>1068.143407625977</v>
      </c>
      <c r="J35" s="990">
        <f>'[3]VLnappe - détail'!R34</f>
        <v>18</v>
      </c>
      <c r="K35" s="1003">
        <v>2.7311000000000001</v>
      </c>
      <c r="L35" s="1003"/>
      <c r="M35" s="990" t="s">
        <v>511</v>
      </c>
      <c r="N35" s="990">
        <f t="shared" si="1"/>
        <v>36</v>
      </c>
      <c r="O35" s="223"/>
      <c r="P35" s="65"/>
    </row>
    <row r="36" spans="2:16">
      <c r="B36" s="121">
        <v>33</v>
      </c>
      <c r="C36" s="221" t="s">
        <v>95</v>
      </c>
      <c r="D36" s="1041" t="s">
        <v>1510</v>
      </c>
      <c r="E36" s="1020">
        <v>2453</v>
      </c>
      <c r="F36" s="1020">
        <v>3.262</v>
      </c>
      <c r="G36" s="1020">
        <v>4.8970000000000002</v>
      </c>
      <c r="H36" s="1020">
        <v>1056</v>
      </c>
      <c r="I36" s="1020">
        <v>1056</v>
      </c>
      <c r="J36" s="990">
        <f>'[3]VLnappe - détail'!R35</f>
        <v>15</v>
      </c>
      <c r="K36" s="1003">
        <v>0.4889</v>
      </c>
      <c r="L36" s="1003"/>
      <c r="M36" s="990">
        <v>69870</v>
      </c>
      <c r="N36" s="990">
        <f t="shared" si="1"/>
        <v>30</v>
      </c>
      <c r="O36" s="223"/>
      <c r="P36" s="65"/>
    </row>
    <row r="37" spans="2:16" s="631" customFormat="1" ht="45" customHeight="1">
      <c r="B37" s="649">
        <v>34</v>
      </c>
      <c r="C37" s="617" t="s">
        <v>96</v>
      </c>
      <c r="D37" s="1041" t="s">
        <v>1518</v>
      </c>
      <c r="E37" s="1093" t="s">
        <v>506</v>
      </c>
      <c r="F37" s="1094"/>
      <c r="G37" s="1094"/>
      <c r="H37" s="1094"/>
      <c r="I37" s="1095"/>
      <c r="J37" s="1003" t="s">
        <v>506</v>
      </c>
      <c r="K37" s="1023" t="s">
        <v>506</v>
      </c>
      <c r="L37" s="1024" t="s">
        <v>1379</v>
      </c>
      <c r="M37" s="990" t="s">
        <v>507</v>
      </c>
      <c r="N37" s="990" t="s">
        <v>506</v>
      </c>
      <c r="O37" s="734" t="s">
        <v>536</v>
      </c>
      <c r="P37" s="627"/>
    </row>
    <row r="38" spans="2:16" s="631" customFormat="1" ht="45" customHeight="1">
      <c r="B38" s="649">
        <v>35</v>
      </c>
      <c r="C38" s="617" t="s">
        <v>97</v>
      </c>
      <c r="D38" s="1041" t="s">
        <v>1522</v>
      </c>
      <c r="E38" s="1093" t="s">
        <v>506</v>
      </c>
      <c r="F38" s="1094"/>
      <c r="G38" s="1094"/>
      <c r="H38" s="1094"/>
      <c r="I38" s="1095"/>
      <c r="J38" s="1003" t="s">
        <v>506</v>
      </c>
      <c r="K38" s="1023" t="s">
        <v>506</v>
      </c>
      <c r="L38" s="1024" t="s">
        <v>1379</v>
      </c>
      <c r="M38" s="990" t="s">
        <v>507</v>
      </c>
      <c r="N38" s="990" t="s">
        <v>506</v>
      </c>
      <c r="O38" s="734" t="s">
        <v>536</v>
      </c>
      <c r="P38" s="627"/>
    </row>
    <row r="39" spans="2:16">
      <c r="B39" s="121">
        <v>36</v>
      </c>
      <c r="C39" s="217" t="s">
        <v>98</v>
      </c>
      <c r="D39" s="1041" t="s">
        <v>1499</v>
      </c>
      <c r="E39" s="1020">
        <v>1501</v>
      </c>
      <c r="F39" s="1020">
        <v>9.3049999999999997</v>
      </c>
      <c r="G39" s="1020">
        <v>14.21</v>
      </c>
      <c r="H39" s="1020">
        <v>1501</v>
      </c>
      <c r="I39" s="1020">
        <v>4726</v>
      </c>
      <c r="J39" s="990">
        <f>'[3]VLnappe - détail'!R38</f>
        <v>9</v>
      </c>
      <c r="K39" s="1003">
        <v>0.82750000000000001</v>
      </c>
      <c r="L39" s="1003"/>
      <c r="M39" s="990">
        <v>79550</v>
      </c>
      <c r="N39" s="990">
        <f t="shared" si="1"/>
        <v>18</v>
      </c>
      <c r="O39" s="223"/>
      <c r="P39" s="65"/>
    </row>
    <row r="40" spans="2:16" s="631" customFormat="1" ht="45" customHeight="1">
      <c r="B40" s="649">
        <v>37</v>
      </c>
      <c r="C40" s="617" t="s">
        <v>99</v>
      </c>
      <c r="D40" s="1041" t="s">
        <v>1505</v>
      </c>
      <c r="E40" s="1093" t="s">
        <v>506</v>
      </c>
      <c r="F40" s="1094"/>
      <c r="G40" s="1094"/>
      <c r="H40" s="1094"/>
      <c r="I40" s="1095"/>
      <c r="J40" s="1003" t="s">
        <v>506</v>
      </c>
      <c r="K40" s="1023" t="s">
        <v>506</v>
      </c>
      <c r="L40" s="1024" t="s">
        <v>1379</v>
      </c>
      <c r="M40" s="990" t="s">
        <v>507</v>
      </c>
      <c r="N40" s="990" t="s">
        <v>506</v>
      </c>
      <c r="O40" s="734" t="s">
        <v>536</v>
      </c>
      <c r="P40" s="627"/>
    </row>
    <row r="41" spans="2:16" s="631" customFormat="1" ht="45" customHeight="1">
      <c r="B41" s="649">
        <v>38</v>
      </c>
      <c r="C41" s="617" t="s">
        <v>100</v>
      </c>
      <c r="D41" s="1041" t="s">
        <v>1514</v>
      </c>
      <c r="E41" s="1093" t="s">
        <v>506</v>
      </c>
      <c r="F41" s="1094"/>
      <c r="G41" s="1094"/>
      <c r="H41" s="1094"/>
      <c r="I41" s="1095"/>
      <c r="J41" s="1003" t="s">
        <v>506</v>
      </c>
      <c r="K41" s="1023" t="s">
        <v>506</v>
      </c>
      <c r="L41" s="1024" t="s">
        <v>1379</v>
      </c>
      <c r="M41" s="990" t="s">
        <v>507</v>
      </c>
      <c r="N41" s="990" t="s">
        <v>506</v>
      </c>
      <c r="O41" s="734" t="s">
        <v>536</v>
      </c>
      <c r="P41" s="627"/>
    </row>
    <row r="42" spans="2:16" s="631" customFormat="1" ht="45" customHeight="1">
      <c r="B42" s="649">
        <v>39</v>
      </c>
      <c r="C42" s="617" t="s">
        <v>101</v>
      </c>
      <c r="D42" s="1041" t="s">
        <v>1516</v>
      </c>
      <c r="E42" s="1093" t="s">
        <v>506</v>
      </c>
      <c r="F42" s="1094"/>
      <c r="G42" s="1094"/>
      <c r="H42" s="1094"/>
      <c r="I42" s="1095"/>
      <c r="J42" s="1003" t="s">
        <v>506</v>
      </c>
      <c r="K42" s="1023" t="s">
        <v>506</v>
      </c>
      <c r="L42" s="1024" t="s">
        <v>1379</v>
      </c>
      <c r="M42" s="990" t="s">
        <v>507</v>
      </c>
      <c r="N42" s="990" t="s">
        <v>506</v>
      </c>
      <c r="O42" s="734" t="s">
        <v>536</v>
      </c>
      <c r="P42" s="627"/>
    </row>
    <row r="43" spans="2:16" s="631" customFormat="1" ht="45" customHeight="1">
      <c r="B43" s="649">
        <v>40</v>
      </c>
      <c r="C43" s="617" t="s">
        <v>102</v>
      </c>
      <c r="D43" s="1041" t="s">
        <v>1490</v>
      </c>
      <c r="E43" s="1093" t="s">
        <v>506</v>
      </c>
      <c r="F43" s="1094"/>
      <c r="G43" s="1094"/>
      <c r="H43" s="1094"/>
      <c r="I43" s="1095"/>
      <c r="J43" s="1003" t="s">
        <v>506</v>
      </c>
      <c r="K43" s="1023" t="s">
        <v>506</v>
      </c>
      <c r="L43" s="1024" t="s">
        <v>1379</v>
      </c>
      <c r="M43" s="990" t="s">
        <v>507</v>
      </c>
      <c r="N43" s="990" t="s">
        <v>506</v>
      </c>
      <c r="O43" s="734" t="s">
        <v>536</v>
      </c>
      <c r="P43" s="627"/>
    </row>
    <row r="44" spans="2:16" s="631" customFormat="1" ht="45" customHeight="1">
      <c r="B44" s="649">
        <v>41</v>
      </c>
      <c r="C44" s="617" t="s">
        <v>103</v>
      </c>
      <c r="D44" s="1041" t="s">
        <v>1491</v>
      </c>
      <c r="E44" s="1093" t="s">
        <v>506</v>
      </c>
      <c r="F44" s="1094"/>
      <c r="G44" s="1094"/>
      <c r="H44" s="1094"/>
      <c r="I44" s="1095"/>
      <c r="J44" s="1003" t="s">
        <v>506</v>
      </c>
      <c r="K44" s="1023" t="s">
        <v>506</v>
      </c>
      <c r="L44" s="1024" t="s">
        <v>1379</v>
      </c>
      <c r="M44" s="990" t="s">
        <v>507</v>
      </c>
      <c r="N44" s="990" t="s">
        <v>506</v>
      </c>
      <c r="O44" s="734" t="s">
        <v>536</v>
      </c>
      <c r="P44" s="627"/>
    </row>
    <row r="45" spans="2:16">
      <c r="B45" s="121">
        <v>42</v>
      </c>
      <c r="C45" s="217" t="s">
        <v>104</v>
      </c>
      <c r="D45" s="1041" t="s">
        <v>1495</v>
      </c>
      <c r="E45" s="1020">
        <v>50100</v>
      </c>
      <c r="F45" s="1020">
        <v>896.5</v>
      </c>
      <c r="G45" s="1020">
        <v>1329</v>
      </c>
      <c r="H45" s="1020">
        <v>50100</v>
      </c>
      <c r="I45" s="1020">
        <v>269300</v>
      </c>
      <c r="J45" s="990">
        <f>'[3]VLnappe - détail'!R44</f>
        <v>300</v>
      </c>
      <c r="K45" s="1003">
        <v>57.774099999999997</v>
      </c>
      <c r="L45" s="1003"/>
      <c r="M45" s="987">
        <v>3363000</v>
      </c>
      <c r="N45" s="990">
        <f t="shared" si="1"/>
        <v>600</v>
      </c>
      <c r="O45" s="223"/>
      <c r="P45" s="65"/>
    </row>
    <row r="46" spans="2:16">
      <c r="B46" s="121">
        <v>43</v>
      </c>
      <c r="C46" s="217" t="s">
        <v>105</v>
      </c>
      <c r="D46" s="1041" t="s">
        <v>1496</v>
      </c>
      <c r="E46" s="1020">
        <v>313.7</v>
      </c>
      <c r="F46" s="1020">
        <v>1.905</v>
      </c>
      <c r="G46" s="1020">
        <v>2.915</v>
      </c>
      <c r="H46" s="1020">
        <v>313.7</v>
      </c>
      <c r="I46" s="1020">
        <v>281.2</v>
      </c>
      <c r="J46" s="990">
        <f>'[3]VLnappe - détail'!R45</f>
        <v>200</v>
      </c>
      <c r="K46" s="1003">
        <v>31.226099999999999</v>
      </c>
      <c r="L46" s="1003"/>
      <c r="M46" s="990">
        <v>102200</v>
      </c>
      <c r="N46" s="990">
        <f t="shared" si="1"/>
        <v>400</v>
      </c>
      <c r="O46" s="223"/>
      <c r="P46" s="65"/>
    </row>
    <row r="47" spans="2:16" s="631" customFormat="1" ht="45" customHeight="1">
      <c r="B47" s="649">
        <v>44</v>
      </c>
      <c r="C47" s="618" t="s">
        <v>106</v>
      </c>
      <c r="D47" s="1041" t="s">
        <v>1513</v>
      </c>
      <c r="E47" s="1093" t="s">
        <v>506</v>
      </c>
      <c r="F47" s="1094"/>
      <c r="G47" s="1094"/>
      <c r="H47" s="1094"/>
      <c r="I47" s="1095"/>
      <c r="J47" s="1003" t="s">
        <v>506</v>
      </c>
      <c r="K47" s="1023" t="s">
        <v>506</v>
      </c>
      <c r="L47" s="1024" t="s">
        <v>1379</v>
      </c>
      <c r="M47" s="990" t="s">
        <v>507</v>
      </c>
      <c r="N47" s="990" t="s">
        <v>506</v>
      </c>
      <c r="O47" s="734" t="s">
        <v>536</v>
      </c>
      <c r="P47" s="627"/>
    </row>
    <row r="48" spans="2:16" s="631" customFormat="1" ht="45" customHeight="1">
      <c r="B48" s="649">
        <v>45</v>
      </c>
      <c r="C48" s="618" t="s">
        <v>107</v>
      </c>
      <c r="D48" s="1041" t="s">
        <v>1487</v>
      </c>
      <c r="E48" s="1093" t="s">
        <v>506</v>
      </c>
      <c r="F48" s="1094"/>
      <c r="G48" s="1094"/>
      <c r="H48" s="1094"/>
      <c r="I48" s="1095"/>
      <c r="J48" s="1003" t="s">
        <v>506</v>
      </c>
      <c r="K48" s="1023" t="s">
        <v>506</v>
      </c>
      <c r="L48" s="1024" t="s">
        <v>1379</v>
      </c>
      <c r="M48" s="990" t="s">
        <v>507</v>
      </c>
      <c r="N48" s="990" t="s">
        <v>506</v>
      </c>
      <c r="O48" s="734" t="s">
        <v>536</v>
      </c>
      <c r="P48" s="627"/>
    </row>
    <row r="49" spans="2:16">
      <c r="B49" s="121">
        <v>46</v>
      </c>
      <c r="C49" s="217" t="s">
        <v>108</v>
      </c>
      <c r="D49" s="1041" t="s">
        <v>1488</v>
      </c>
      <c r="E49" s="994">
        <v>5016</v>
      </c>
      <c r="F49" s="994">
        <v>184.8</v>
      </c>
      <c r="G49" s="994">
        <v>263.60000000000002</v>
      </c>
      <c r="H49" s="994">
        <v>5016</v>
      </c>
      <c r="I49" s="994">
        <v>21980</v>
      </c>
      <c r="J49" s="990">
        <f>'[3]VLnappe - détail'!R48</f>
        <v>90</v>
      </c>
      <c r="K49" s="1003">
        <v>35.118200000000002</v>
      </c>
      <c r="L49" s="1003"/>
      <c r="M49" s="987">
        <v>13040000</v>
      </c>
      <c r="N49" s="990">
        <f t="shared" si="1"/>
        <v>180</v>
      </c>
      <c r="O49" s="223"/>
      <c r="P49" s="65"/>
    </row>
    <row r="50" spans="2:16" s="631" customFormat="1" ht="45">
      <c r="B50" s="617">
        <v>47</v>
      </c>
      <c r="C50" s="617" t="s">
        <v>341</v>
      </c>
      <c r="D50" s="1041" t="s">
        <v>1489</v>
      </c>
      <c r="E50" s="1099" t="s">
        <v>506</v>
      </c>
      <c r="F50" s="1100"/>
      <c r="G50" s="1100"/>
      <c r="H50" s="1100"/>
      <c r="I50" s="1101"/>
      <c r="J50" s="1003" t="s">
        <v>506</v>
      </c>
      <c r="K50" s="1023" t="s">
        <v>506</v>
      </c>
      <c r="L50" s="1024" t="s">
        <v>1379</v>
      </c>
      <c r="M50" s="990" t="s">
        <v>507</v>
      </c>
      <c r="N50" s="990" t="s">
        <v>506</v>
      </c>
      <c r="O50" s="734" t="s">
        <v>536</v>
      </c>
      <c r="P50" s="627"/>
    </row>
    <row r="51" spans="2:16" s="631" customFormat="1">
      <c r="B51" s="649">
        <v>48</v>
      </c>
      <c r="C51" s="617" t="s">
        <v>67</v>
      </c>
      <c r="D51" s="1041" t="s">
        <v>1613</v>
      </c>
      <c r="E51" s="990">
        <v>32760</v>
      </c>
      <c r="F51" s="990">
        <v>19.11</v>
      </c>
      <c r="G51" s="990">
        <v>24.62</v>
      </c>
      <c r="H51" s="990">
        <v>662.8</v>
      </c>
      <c r="I51" s="990">
        <v>679.9</v>
      </c>
      <c r="J51" s="990">
        <f>'[3]VLnappe - détail'!R50</f>
        <v>21000</v>
      </c>
      <c r="K51" s="1023">
        <v>237.64089999999999</v>
      </c>
      <c r="L51" s="1023"/>
      <c r="M51" s="990">
        <v>350300</v>
      </c>
      <c r="N51" s="990">
        <f t="shared" si="1"/>
        <v>42000</v>
      </c>
      <c r="O51" s="734"/>
      <c r="P51" s="627"/>
    </row>
    <row r="52" spans="2:16" s="631" customFormat="1">
      <c r="B52" s="649">
        <v>49</v>
      </c>
      <c r="C52" s="617" t="s">
        <v>69</v>
      </c>
      <c r="D52" s="1041" t="s">
        <v>1624</v>
      </c>
      <c r="E52" s="990">
        <v>32890</v>
      </c>
      <c r="F52" s="990">
        <v>10.84</v>
      </c>
      <c r="G52" s="990">
        <v>11.04</v>
      </c>
      <c r="H52" s="990">
        <v>129.4</v>
      </c>
      <c r="I52" s="990">
        <v>132.80000000000001</v>
      </c>
      <c r="J52" s="990">
        <f>'[3]VLnappe - détail'!R51</f>
        <v>450</v>
      </c>
      <c r="K52" s="1003">
        <v>68.622799999999998</v>
      </c>
      <c r="L52" s="1003"/>
      <c r="M52" s="990">
        <v>4324</v>
      </c>
      <c r="N52" s="990">
        <f t="shared" si="1"/>
        <v>900</v>
      </c>
      <c r="O52" s="734"/>
      <c r="P52" s="627"/>
    </row>
    <row r="53" spans="2:16">
      <c r="B53" s="121">
        <v>50</v>
      </c>
      <c r="C53" s="217" t="s">
        <v>185</v>
      </c>
      <c r="D53" s="1041" t="s">
        <v>1533</v>
      </c>
      <c r="E53" s="996">
        <f>'[3]VLH - détail'!F61</f>
        <v>16347.117222575407</v>
      </c>
      <c r="F53" s="996"/>
      <c r="G53" s="994">
        <f>'[3]VLH - détail'!I61</f>
        <v>9.0862008809759196</v>
      </c>
      <c r="H53" s="994">
        <f>'[3]VLH - détail'!O61</f>
        <v>16347.117222575407</v>
      </c>
      <c r="I53" s="994">
        <f>'[3]VLH - détail'!P61</f>
        <v>74770.038533818399</v>
      </c>
      <c r="J53" s="990">
        <f>'[3]VLnappe - détail'!R52</f>
        <v>210.00000000000003</v>
      </c>
      <c r="K53" s="1003">
        <v>51.318600000000004</v>
      </c>
      <c r="L53" s="1003"/>
      <c r="M53" s="990" t="s">
        <v>511</v>
      </c>
      <c r="N53" s="990">
        <f t="shared" si="1"/>
        <v>420.00000000000006</v>
      </c>
      <c r="O53" s="223"/>
      <c r="P53" s="65"/>
    </row>
    <row r="54" spans="2:16">
      <c r="B54" s="121">
        <v>51</v>
      </c>
      <c r="C54" s="217" t="s">
        <v>187</v>
      </c>
      <c r="D54" s="1041" t="s">
        <v>1547</v>
      </c>
      <c r="E54" s="996">
        <f>'[3]VLH - détail'!F62</f>
        <v>934.12098414716615</v>
      </c>
      <c r="F54" s="996"/>
      <c r="G54" s="994">
        <f>'[3]VLH - détail'!I62</f>
        <v>1.7473668789957979</v>
      </c>
      <c r="H54" s="994">
        <f>'[3]VLH - détail'!O62</f>
        <v>934.12098414716615</v>
      </c>
      <c r="I54" s="994">
        <f>'[3]VLH - détail'!P62</f>
        <v>4272.5736305039081</v>
      </c>
      <c r="J54" s="990">
        <f>'[3]VLnappe - détail'!R53</f>
        <v>12</v>
      </c>
      <c r="K54" s="1003">
        <v>12.049099999999999</v>
      </c>
      <c r="L54" s="1003"/>
      <c r="M54" s="990" t="s">
        <v>511</v>
      </c>
      <c r="N54" s="990">
        <f t="shared" si="1"/>
        <v>24</v>
      </c>
      <c r="O54" s="223"/>
      <c r="P54" s="65"/>
    </row>
    <row r="55" spans="2:16">
      <c r="B55" s="121">
        <v>52</v>
      </c>
      <c r="C55" s="217" t="s">
        <v>74</v>
      </c>
      <c r="D55" s="1041" t="s">
        <v>1468</v>
      </c>
      <c r="E55" s="996">
        <f>'[3]VLH - détail'!F63</f>
        <v>382.4900945936725</v>
      </c>
      <c r="F55" s="996"/>
      <c r="G55" s="994">
        <f>'[3]VLH - détail'!I63</f>
        <v>1.1954659023975227</v>
      </c>
      <c r="H55" s="994">
        <f>'[3]VLH - détail'!O63</f>
        <v>5.6574259391335788</v>
      </c>
      <c r="I55" s="994">
        <f>'[3]VLH - détail'!P63</f>
        <v>5.6574259391335788</v>
      </c>
      <c r="J55" s="990">
        <f>'[3]VLnappe - détail'!R54</f>
        <v>10</v>
      </c>
      <c r="K55" s="1003">
        <v>0.38919999999999999</v>
      </c>
      <c r="L55" s="1003"/>
      <c r="M55" s="990">
        <v>761.91711417782005</v>
      </c>
      <c r="N55" s="990">
        <f t="shared" si="1"/>
        <v>20</v>
      </c>
      <c r="O55" s="223"/>
      <c r="P55" s="65"/>
    </row>
    <row r="56" spans="2:16" s="1010" customFormat="1">
      <c r="B56" s="1011">
        <v>53</v>
      </c>
      <c r="C56" s="1006" t="s">
        <v>64</v>
      </c>
      <c r="D56" s="1041" t="s">
        <v>1602</v>
      </c>
      <c r="E56" s="1025">
        <v>1374</v>
      </c>
      <c r="F56" s="1025">
        <v>1.5209999999999999</v>
      </c>
      <c r="G56" s="1025">
        <v>2.23</v>
      </c>
      <c r="H56" s="1026">
        <v>101</v>
      </c>
      <c r="I56" s="1026">
        <v>101</v>
      </c>
      <c r="J56" s="990">
        <f>'[3]VLnappe - détail'!R55</f>
        <v>100</v>
      </c>
      <c r="K56" s="1003">
        <v>2.9920557266728798</v>
      </c>
      <c r="L56" s="1003"/>
      <c r="M56" s="990">
        <v>22150</v>
      </c>
      <c r="N56" s="990">
        <f t="shared" si="1"/>
        <v>200</v>
      </c>
      <c r="O56" s="1012"/>
      <c r="P56" s="1008"/>
    </row>
    <row r="57" spans="2:16">
      <c r="B57" s="121">
        <v>54</v>
      </c>
      <c r="C57" s="217" t="s">
        <v>70</v>
      </c>
      <c r="D57" s="1041" t="s">
        <v>1636</v>
      </c>
      <c r="E57" s="996">
        <f>'[3]VLH - détail'!F65</f>
        <v>15.021089814738501</v>
      </c>
      <c r="F57" s="996"/>
      <c r="G57" s="994">
        <f>'[3]VLH - détail'!I65</f>
        <v>1.5449350894669549E-2</v>
      </c>
      <c r="H57" s="994">
        <f>'[3]VLH - détail'!O65</f>
        <v>0.24823560213161164</v>
      </c>
      <c r="I57" s="994">
        <f>'[3]VLH - détail'!P65</f>
        <v>0.24823560213161164</v>
      </c>
      <c r="J57" s="990">
        <f>'[3]VLnappe - détail'!R56</f>
        <v>100</v>
      </c>
      <c r="K57" s="1003">
        <v>1.6667000000000001</v>
      </c>
      <c r="L57" s="1003"/>
      <c r="M57" s="990">
        <v>51.865158762354625</v>
      </c>
      <c r="N57" s="990">
        <f t="shared" si="1"/>
        <v>200</v>
      </c>
      <c r="O57" s="223"/>
      <c r="P57" s="65"/>
    </row>
    <row r="58" spans="2:16">
      <c r="B58" s="121">
        <v>55</v>
      </c>
      <c r="C58" s="217" t="s">
        <v>111</v>
      </c>
      <c r="D58" s="1041" t="s">
        <v>1627</v>
      </c>
      <c r="E58" s="996">
        <f>'[3]VLH - détail'!F66</f>
        <v>605.57477020829401</v>
      </c>
      <c r="F58" s="996"/>
      <c r="G58" s="994">
        <f>'[3]VLH - détail'!I66</f>
        <v>0.75146781827910769</v>
      </c>
      <c r="H58" s="994">
        <f>'[3]VLH - détail'!O66</f>
        <v>564.0444958810391</v>
      </c>
      <c r="I58" s="994">
        <f>'[3]VLH - détail'!P66</f>
        <v>1121.8757047255683</v>
      </c>
      <c r="J58" s="990">
        <f>'[3]VLnappe - détail'!R57</f>
        <v>8</v>
      </c>
      <c r="K58" s="1003">
        <v>191.83949999999999</v>
      </c>
      <c r="L58" s="1003"/>
      <c r="M58" s="986" t="s">
        <v>512</v>
      </c>
      <c r="N58" s="990">
        <f t="shared" si="1"/>
        <v>16</v>
      </c>
      <c r="O58" s="223"/>
      <c r="P58" s="67"/>
    </row>
    <row r="59" spans="2:16" ht="45" customHeight="1">
      <c r="B59" s="121">
        <v>56</v>
      </c>
      <c r="C59" s="30" t="s">
        <v>342</v>
      </c>
      <c r="D59" s="1041" t="s">
        <v>1537</v>
      </c>
      <c r="E59" s="1096" t="s">
        <v>506</v>
      </c>
      <c r="F59" s="1097"/>
      <c r="G59" s="1097"/>
      <c r="H59" s="1097"/>
      <c r="I59" s="1098"/>
      <c r="J59" s="990" t="str">
        <f>'[3]VLnappe - détail'!R58</f>
        <v>NA</v>
      </c>
      <c r="K59" s="1023" t="s">
        <v>506</v>
      </c>
      <c r="L59" s="1024" t="s">
        <v>1379</v>
      </c>
      <c r="M59" s="990" t="s">
        <v>507</v>
      </c>
      <c r="N59" s="990" t="s">
        <v>506</v>
      </c>
      <c r="O59" s="223" t="s">
        <v>536</v>
      </c>
      <c r="P59" s="65"/>
    </row>
    <row r="60" spans="2:16">
      <c r="B60" s="121">
        <v>57</v>
      </c>
      <c r="C60" s="217" t="s">
        <v>184</v>
      </c>
      <c r="D60" s="1041" t="s">
        <v>1595</v>
      </c>
      <c r="E60" s="996">
        <f>'[3]VLH - détail'!F68</f>
        <v>990.46864193300132</v>
      </c>
      <c r="F60" s="996"/>
      <c r="G60" s="994">
        <f>'[3]VLH - détail'!I68</f>
        <v>0.84004848462143333</v>
      </c>
      <c r="H60" s="994">
        <f>'[3]VLH - détail'!O68</f>
        <v>67.546853597359629</v>
      </c>
      <c r="I60" s="994">
        <f>'[3]VLH - détail'!P68</f>
        <v>1446.0742701590618</v>
      </c>
      <c r="J60" s="990">
        <f>'[3]VLnappe - détail'!R59</f>
        <v>0.83</v>
      </c>
      <c r="K60" s="1003">
        <v>0.312</v>
      </c>
      <c r="L60" s="1003"/>
      <c r="M60" s="990" t="s">
        <v>511</v>
      </c>
      <c r="N60" s="990">
        <f t="shared" si="1"/>
        <v>1.66</v>
      </c>
      <c r="O60" s="223"/>
      <c r="P60" s="65"/>
    </row>
    <row r="61" spans="2:16">
      <c r="B61" s="121">
        <v>58</v>
      </c>
      <c r="C61" s="217" t="s">
        <v>63</v>
      </c>
      <c r="D61" s="1041" t="s">
        <v>1601</v>
      </c>
      <c r="E61" s="996">
        <f>'[3]VLH - détail'!F69</f>
        <v>144.88617343434186</v>
      </c>
      <c r="F61" s="996"/>
      <c r="G61" s="994">
        <f>'[3]VLH - détail'!I69</f>
        <v>7.3188110518551105E-2</v>
      </c>
      <c r="H61" s="994">
        <f>'[3]VLH - détail'!O69</f>
        <v>144.88617343434186</v>
      </c>
      <c r="I61" s="994">
        <f>'[3]VLH - détail'!P69</f>
        <v>267.9929696552631</v>
      </c>
      <c r="J61" s="990">
        <f>'[3]VLnappe - détail'!R60</f>
        <v>60</v>
      </c>
      <c r="K61" s="1003">
        <v>1.6353</v>
      </c>
      <c r="L61" s="1003"/>
      <c r="M61" s="990" t="s">
        <v>511</v>
      </c>
      <c r="N61" s="990">
        <f t="shared" si="1"/>
        <v>120</v>
      </c>
      <c r="O61" s="223"/>
      <c r="P61" s="65"/>
    </row>
    <row r="62" spans="2:16">
      <c r="B62" s="121">
        <v>59</v>
      </c>
      <c r="C62" s="217" t="s">
        <v>212</v>
      </c>
      <c r="D62" s="1041" t="s">
        <v>1583</v>
      </c>
      <c r="E62" s="996">
        <f>'[3]VLH - détail'!F70</f>
        <v>121.43572793913158</v>
      </c>
      <c r="F62" s="996"/>
      <c r="G62" s="994">
        <f>'[3]VLH - détail'!I70</f>
        <v>4.3089112380343395E-2</v>
      </c>
      <c r="H62" s="994">
        <f>'[3]VLH - détail'!O70</f>
        <v>136.43178410794602</v>
      </c>
      <c r="I62" s="994">
        <f>'[3]VLH - détail'!P70</f>
        <v>808.8888888888888</v>
      </c>
      <c r="J62" s="990">
        <f>'[3]VLnappe - détail'!R61</f>
        <v>94</v>
      </c>
      <c r="K62" s="1003">
        <v>17.554500000000001</v>
      </c>
      <c r="L62" s="1003"/>
      <c r="M62" s="990" t="s">
        <v>505</v>
      </c>
      <c r="N62" s="990">
        <f t="shared" si="1"/>
        <v>188</v>
      </c>
      <c r="O62" s="223"/>
      <c r="P62" s="65"/>
    </row>
    <row r="63" spans="2:16" s="1010" customFormat="1">
      <c r="B63" s="1011">
        <v>60</v>
      </c>
      <c r="C63" s="1006" t="s">
        <v>213</v>
      </c>
      <c r="D63" s="1041" t="s">
        <v>1597</v>
      </c>
      <c r="E63" s="1025">
        <v>57140</v>
      </c>
      <c r="F63" s="1027">
        <v>375.7</v>
      </c>
      <c r="G63" s="1027">
        <v>581.70000000000005</v>
      </c>
      <c r="H63" s="1026">
        <v>57140</v>
      </c>
      <c r="I63" s="1026">
        <v>478100</v>
      </c>
      <c r="J63" s="990">
        <f>'[3]VLnappe - détail'!R62</f>
        <v>1000</v>
      </c>
      <c r="K63" s="1003">
        <v>67.5</v>
      </c>
      <c r="L63" s="1003"/>
      <c r="M63" s="990" t="s">
        <v>505</v>
      </c>
      <c r="N63" s="990">
        <f t="shared" si="1"/>
        <v>2000</v>
      </c>
      <c r="O63" s="1012" t="s">
        <v>2518</v>
      </c>
      <c r="P63" s="1008"/>
    </row>
    <row r="64" spans="2:16">
      <c r="B64" s="121">
        <v>61</v>
      </c>
      <c r="C64" s="217" t="s">
        <v>214</v>
      </c>
      <c r="D64" s="1041" t="s">
        <v>1770</v>
      </c>
      <c r="E64" s="996">
        <f>'[3]VLH - détail'!F72</f>
        <v>140118.1476220749</v>
      </c>
      <c r="F64" s="996"/>
      <c r="G64" s="994">
        <f>'[3]VLH - détail'!I72</f>
        <v>49.718206592703915</v>
      </c>
      <c r="H64" s="994">
        <f>'[3]VLH - détail'!O72</f>
        <v>157421.28935532231</v>
      </c>
      <c r="I64" s="994">
        <f>'[3]VLH - détail'!P72</f>
        <v>933333.33333333326</v>
      </c>
      <c r="J64" s="990">
        <f>'[3]VLnappe - détail'!R63</f>
        <v>3600</v>
      </c>
      <c r="K64" s="1003">
        <v>2835</v>
      </c>
      <c r="L64" s="1003"/>
      <c r="M64" s="990" t="s">
        <v>505</v>
      </c>
      <c r="N64" s="990">
        <f t="shared" si="1"/>
        <v>7200</v>
      </c>
      <c r="O64" s="223"/>
      <c r="P64" s="65"/>
    </row>
    <row r="65" spans="2:16">
      <c r="B65" s="121">
        <v>62</v>
      </c>
      <c r="C65" s="217" t="s">
        <v>347</v>
      </c>
      <c r="D65" s="1041" t="s">
        <v>1593</v>
      </c>
      <c r="E65" s="996">
        <f>'[3]VLH - détail'!F73</f>
        <v>3502.9536905518726</v>
      </c>
      <c r="F65" s="996"/>
      <c r="G65" s="994">
        <f>'[3]VLH - détail'!I73</f>
        <v>355.91439281548418</v>
      </c>
      <c r="H65" s="994">
        <f>'[3]VLH - détail'!O73</f>
        <v>3502.9536905518726</v>
      </c>
      <c r="I65" s="994">
        <f>'[3]VLH - détail'!P73</f>
        <v>16022.151114389655</v>
      </c>
      <c r="J65" s="990">
        <f>'[3]VLnappe - détail'!R64</f>
        <v>300</v>
      </c>
      <c r="K65" s="999">
        <v>3133.6233000000002</v>
      </c>
      <c r="L65" s="999"/>
      <c r="M65" s="990" t="s">
        <v>511</v>
      </c>
      <c r="N65" s="990">
        <f t="shared" si="1"/>
        <v>600</v>
      </c>
      <c r="O65" s="223"/>
      <c r="P65" s="65"/>
    </row>
    <row r="66" spans="2:16">
      <c r="B66" s="121">
        <v>63</v>
      </c>
      <c r="C66" s="217" t="s">
        <v>58</v>
      </c>
      <c r="D66" s="1041" t="s">
        <v>1511</v>
      </c>
      <c r="E66" s="996">
        <f>'[3]VLH - détail'!F74</f>
        <v>4670.6049207358301</v>
      </c>
      <c r="F66" s="996"/>
      <c r="G66" s="994">
        <f>'[3]VLH - détail'!I74</f>
        <v>4.719137496922797</v>
      </c>
      <c r="H66" s="994">
        <f>'[3]VLH - détail'!O74</f>
        <v>4670.6049207358301</v>
      </c>
      <c r="I66" s="994">
        <f>'[3]VLH - détail'!P74</f>
        <v>21362.868152519542</v>
      </c>
      <c r="J66" s="990">
        <f>'[3]VLnappe - détail'!R65</f>
        <v>140</v>
      </c>
      <c r="K66" s="999">
        <v>32.043300000000002</v>
      </c>
      <c r="L66" s="999"/>
      <c r="M66" s="990" t="s">
        <v>511</v>
      </c>
      <c r="N66" s="990">
        <f t="shared" si="1"/>
        <v>280</v>
      </c>
      <c r="O66" s="223"/>
      <c r="P66" s="65"/>
    </row>
    <row r="67" spans="2:16">
      <c r="B67" s="121">
        <v>64</v>
      </c>
      <c r="C67" s="217" t="s">
        <v>62</v>
      </c>
      <c r="D67" s="1041" t="s">
        <v>1600</v>
      </c>
      <c r="E67" s="996">
        <f>'[3]VLH - détail'!F75</f>
        <v>1609.0537909578038</v>
      </c>
      <c r="F67" s="996"/>
      <c r="G67" s="994">
        <f>'[3]VLH - détail'!I75</f>
        <v>1.0124928703594012</v>
      </c>
      <c r="H67" s="994">
        <f>'[3]VLH - détail'!O75</f>
        <v>136.63541716980768</v>
      </c>
      <c r="I67" s="994">
        <f>'[3]VLH - détail'!P75</f>
        <v>136.63541716980768</v>
      </c>
      <c r="J67" s="990">
        <f>'[3]VLnappe - détail'!R66</f>
        <v>62</v>
      </c>
      <c r="K67" s="999">
        <v>4.2957000000000001</v>
      </c>
      <c r="L67" s="999"/>
      <c r="M67" s="990">
        <v>10723.265799225881</v>
      </c>
      <c r="N67" s="990">
        <f t="shared" si="1"/>
        <v>124</v>
      </c>
      <c r="O67" s="223"/>
      <c r="P67" s="65"/>
    </row>
    <row r="68" spans="2:16">
      <c r="B68" s="121">
        <v>65</v>
      </c>
      <c r="C68" s="217" t="s">
        <v>82</v>
      </c>
      <c r="D68" s="1041" t="s">
        <v>513</v>
      </c>
      <c r="E68" s="996">
        <f>'[3]VLH - détail'!F76</f>
        <v>1.832819893482923</v>
      </c>
      <c r="F68" s="996"/>
      <c r="G68" s="994">
        <f>'[3]VLH - détail'!I76</f>
        <v>0.16371629283303474</v>
      </c>
      <c r="H68" s="994">
        <f>'[3]VLH - détail'!O76</f>
        <v>1.7864029036345181</v>
      </c>
      <c r="I68" s="994">
        <f>'[3]VLH - détail'!P76</f>
        <v>4.2174662325288672</v>
      </c>
      <c r="J68" s="990">
        <f>'[3]VLnappe - détail'!R67</f>
        <v>30</v>
      </c>
      <c r="K68" s="999">
        <v>0.38819999999999999</v>
      </c>
      <c r="L68" s="999"/>
      <c r="M68" s="990">
        <v>262229.40500614792</v>
      </c>
      <c r="N68" s="990">
        <f>J68*2</f>
        <v>60</v>
      </c>
      <c r="O68" s="223"/>
      <c r="P68" s="65"/>
    </row>
    <row r="69" spans="2:16" s="631" customFormat="1">
      <c r="B69" s="649">
        <v>66</v>
      </c>
      <c r="C69" s="617" t="s">
        <v>119</v>
      </c>
      <c r="D69" s="1041" t="s">
        <v>1676</v>
      </c>
      <c r="E69" s="995">
        <v>6903</v>
      </c>
      <c r="F69" s="995">
        <v>12.27</v>
      </c>
      <c r="G69" s="990">
        <v>20.25</v>
      </c>
      <c r="H69" s="990">
        <v>563.29999999999995</v>
      </c>
      <c r="I69" s="990">
        <v>563.29999999999995</v>
      </c>
      <c r="J69" s="990">
        <f>'[3]VLnappe - détail'!R68</f>
        <v>2600</v>
      </c>
      <c r="K69" s="1003">
        <v>31.9848</v>
      </c>
      <c r="L69" s="1003"/>
      <c r="M69" s="990">
        <v>306000</v>
      </c>
      <c r="N69" s="990">
        <f>J69*2</f>
        <v>5200</v>
      </c>
      <c r="O69" s="734"/>
      <c r="P69" s="627"/>
    </row>
    <row r="70" spans="2:16">
      <c r="B70" s="121">
        <v>67</v>
      </c>
      <c r="C70" s="217" t="s">
        <v>120</v>
      </c>
      <c r="D70" s="1041" t="s">
        <v>1560</v>
      </c>
      <c r="E70" s="996">
        <f>'[3]VLH - détail'!F78</f>
        <v>204.41607069736952</v>
      </c>
      <c r="F70" s="996"/>
      <c r="G70" s="994">
        <f>'[3]VLH - détail'!I78</f>
        <v>0.62479461662108426</v>
      </c>
      <c r="H70" s="994">
        <f>'[3]VLH - détail'!O78</f>
        <v>3.7178596696856796</v>
      </c>
      <c r="I70" s="994">
        <f>'[3]VLH - détail'!P78</f>
        <v>3.7178596696856796</v>
      </c>
      <c r="J70" s="990">
        <f>'[3]VLnappe - détail'!R69</f>
        <v>2.6</v>
      </c>
      <c r="K70" s="1003">
        <v>1.2500000000000001E-2</v>
      </c>
      <c r="L70" s="1003"/>
      <c r="M70" s="990">
        <v>3072.2542487719838</v>
      </c>
      <c r="N70" s="990">
        <f t="shared" si="1"/>
        <v>5.2</v>
      </c>
      <c r="O70" s="223"/>
      <c r="P70" s="65"/>
    </row>
    <row r="71" spans="2:16" ht="25.15" customHeight="1">
      <c r="B71" s="121">
        <v>68</v>
      </c>
      <c r="C71" s="217" t="s">
        <v>348</v>
      </c>
      <c r="D71" s="1041" t="s">
        <v>1647</v>
      </c>
      <c r="E71" s="996">
        <f>'[3]VLH - détail'!F79</f>
        <v>1428.3611679979356</v>
      </c>
      <c r="F71" s="996"/>
      <c r="G71" s="994">
        <f>'[3]VLH - détail'!I79</f>
        <v>12.710423021821594</v>
      </c>
      <c r="H71" s="994">
        <f>'[3]VLH - détail'!O79</f>
        <v>53.602315901430899</v>
      </c>
      <c r="I71" s="994">
        <f>'[3]VLH - détail'!P79</f>
        <v>53.602315901430899</v>
      </c>
      <c r="J71" s="990">
        <f>'[3]VLnappe - détail'!R70</f>
        <v>61</v>
      </c>
      <c r="K71" s="1003">
        <v>0.27960000000000002</v>
      </c>
      <c r="L71" s="1003"/>
      <c r="M71" s="990">
        <v>66094.330657590806</v>
      </c>
      <c r="N71" s="990">
        <f t="shared" si="1"/>
        <v>122</v>
      </c>
      <c r="O71" s="223"/>
      <c r="P71" s="65"/>
    </row>
    <row r="72" spans="2:16" ht="30">
      <c r="B72" s="121">
        <v>69</v>
      </c>
      <c r="C72" s="217" t="s">
        <v>215</v>
      </c>
      <c r="D72" s="1041" t="s">
        <v>1581</v>
      </c>
      <c r="E72" s="996">
        <f>'[3]VLH - détail'!F80</f>
        <v>410.06311427601264</v>
      </c>
      <c r="F72" s="996"/>
      <c r="G72" s="994">
        <f>'[3]VLH - détail'!I80</f>
        <v>1.5044156972875373</v>
      </c>
      <c r="H72" s="994">
        <f>'[3]VLH - détail'!O80</f>
        <v>6.3292102465827451</v>
      </c>
      <c r="I72" s="994">
        <f>'[3]VLH - détail'!P80</f>
        <v>6.3292102465827451</v>
      </c>
      <c r="J72" s="990" t="s">
        <v>505</v>
      </c>
      <c r="K72" s="1023" t="s">
        <v>505</v>
      </c>
      <c r="L72" s="1024"/>
      <c r="M72" s="990">
        <v>7720.1348466739355</v>
      </c>
      <c r="N72" s="990" t="s">
        <v>505</v>
      </c>
      <c r="O72" s="583" t="s">
        <v>514</v>
      </c>
      <c r="P72" s="65"/>
    </row>
    <row r="73" spans="2:16" ht="90">
      <c r="B73" s="121" t="s">
        <v>343</v>
      </c>
      <c r="C73" s="217" t="s">
        <v>349</v>
      </c>
      <c r="D73" s="1041" t="s">
        <v>350</v>
      </c>
      <c r="E73" s="1096" t="s">
        <v>506</v>
      </c>
      <c r="F73" s="1097"/>
      <c r="G73" s="1097"/>
      <c r="H73" s="1097"/>
      <c r="I73" s="1098"/>
      <c r="J73" s="990">
        <f>'[3]VLnappe - détail'!R72</f>
        <v>500</v>
      </c>
      <c r="K73" s="1023" t="s">
        <v>506</v>
      </c>
      <c r="L73" s="1024" t="s">
        <v>1380</v>
      </c>
      <c r="M73" s="990" t="s">
        <v>505</v>
      </c>
      <c r="N73" s="990">
        <f>J73*2</f>
        <v>1000</v>
      </c>
      <c r="O73" s="583" t="s">
        <v>515</v>
      </c>
      <c r="P73" s="65"/>
    </row>
    <row r="74" spans="2:16" s="1010" customFormat="1" ht="30">
      <c r="B74" s="1011">
        <v>70</v>
      </c>
      <c r="C74" s="1004" t="s">
        <v>217</v>
      </c>
      <c r="D74" s="1041" t="s">
        <v>1568</v>
      </c>
      <c r="E74" s="990">
        <v>4467</v>
      </c>
      <c r="F74" s="990">
        <v>1.0660000000000001</v>
      </c>
      <c r="G74" s="990">
        <v>1.2529999999999999</v>
      </c>
      <c r="H74" s="990">
        <v>20.13</v>
      </c>
      <c r="I74" s="990">
        <v>20.66</v>
      </c>
      <c r="J74" s="990" t="s">
        <v>505</v>
      </c>
      <c r="K74" s="1023" t="s">
        <v>505</v>
      </c>
      <c r="L74" s="1023"/>
      <c r="M74" s="990">
        <v>20.149999999999999</v>
      </c>
      <c r="N74" s="990" t="s">
        <v>505</v>
      </c>
      <c r="O74" s="1014" t="s">
        <v>516</v>
      </c>
      <c r="P74" s="1008"/>
    </row>
    <row r="75" spans="2:16" ht="60">
      <c r="B75" s="121" t="s">
        <v>517</v>
      </c>
      <c r="C75" s="217" t="s">
        <v>351</v>
      </c>
      <c r="D75" s="1041" t="s">
        <v>1675</v>
      </c>
      <c r="E75" s="1096" t="s">
        <v>506</v>
      </c>
      <c r="F75" s="1097"/>
      <c r="G75" s="1097"/>
      <c r="H75" s="1097"/>
      <c r="I75" s="1098"/>
      <c r="J75" s="990">
        <f>'[3]VLnappe - détail'!R74</f>
        <v>1500</v>
      </c>
      <c r="K75" s="1023" t="s">
        <v>506</v>
      </c>
      <c r="L75" s="1024" t="s">
        <v>1380</v>
      </c>
      <c r="M75" s="990" t="s">
        <v>505</v>
      </c>
      <c r="N75" s="990">
        <f>J75*2</f>
        <v>3000</v>
      </c>
      <c r="O75" s="583" t="s">
        <v>518</v>
      </c>
      <c r="P75" s="65"/>
    </row>
    <row r="76" spans="2:16" s="631" customFormat="1" ht="30">
      <c r="B76" s="649">
        <v>71</v>
      </c>
      <c r="C76" s="617" t="s">
        <v>220</v>
      </c>
      <c r="D76" s="1041" t="s">
        <v>1566</v>
      </c>
      <c r="E76" s="1093" t="s">
        <v>506</v>
      </c>
      <c r="F76" s="1094"/>
      <c r="G76" s="1094"/>
      <c r="H76" s="1094"/>
      <c r="I76" s="1095"/>
      <c r="J76" s="990" t="s">
        <v>505</v>
      </c>
      <c r="K76" s="1023" t="s">
        <v>505</v>
      </c>
      <c r="L76" s="1023"/>
      <c r="M76" s="990" t="s">
        <v>507</v>
      </c>
      <c r="N76" s="990" t="s">
        <v>505</v>
      </c>
      <c r="O76" s="749" t="s">
        <v>519</v>
      </c>
      <c r="P76" s="627"/>
    </row>
    <row r="77" spans="2:16" s="631" customFormat="1" ht="105">
      <c r="B77" s="649" t="s">
        <v>520</v>
      </c>
      <c r="C77" s="617" t="s">
        <v>352</v>
      </c>
      <c r="D77" s="1041" t="s">
        <v>1619</v>
      </c>
      <c r="E77" s="1093" t="s">
        <v>506</v>
      </c>
      <c r="F77" s="1094"/>
      <c r="G77" s="1094"/>
      <c r="H77" s="1094"/>
      <c r="I77" s="1095"/>
      <c r="J77" s="990">
        <f>'[3]VLnappe - détail'!R76</f>
        <v>150000</v>
      </c>
      <c r="K77" s="1023" t="s">
        <v>506</v>
      </c>
      <c r="L77" s="1024" t="s">
        <v>1380</v>
      </c>
      <c r="M77" s="990" t="s">
        <v>505</v>
      </c>
      <c r="N77" s="990">
        <f>J77*2</f>
        <v>300000</v>
      </c>
      <c r="O77" s="763" t="s">
        <v>521</v>
      </c>
      <c r="P77" s="627"/>
    </row>
    <row r="78" spans="2:16" ht="30">
      <c r="B78" s="121">
        <v>72</v>
      </c>
      <c r="C78" s="217" t="s">
        <v>222</v>
      </c>
      <c r="D78" s="1041" t="s">
        <v>1576</v>
      </c>
      <c r="E78" s="1096" t="s">
        <v>506</v>
      </c>
      <c r="F78" s="1097"/>
      <c r="G78" s="1097"/>
      <c r="H78" s="1097"/>
      <c r="I78" s="1098"/>
      <c r="J78" s="990" t="s">
        <v>505</v>
      </c>
      <c r="K78" s="1023" t="s">
        <v>505</v>
      </c>
      <c r="L78" s="1023"/>
      <c r="M78" s="990" t="s">
        <v>507</v>
      </c>
      <c r="N78" s="990" t="s">
        <v>505</v>
      </c>
      <c r="O78" s="583" t="s">
        <v>522</v>
      </c>
      <c r="P78" s="65"/>
    </row>
    <row r="79" spans="2:16" s="631" customFormat="1" ht="105">
      <c r="B79" s="649" t="s">
        <v>523</v>
      </c>
      <c r="C79" s="617" t="s">
        <v>353</v>
      </c>
      <c r="D79" s="630" t="s">
        <v>449</v>
      </c>
      <c r="E79" s="1093" t="s">
        <v>506</v>
      </c>
      <c r="F79" s="1094"/>
      <c r="G79" s="1094"/>
      <c r="H79" s="1094"/>
      <c r="I79" s="1095"/>
      <c r="J79" s="990">
        <f>'[3]VLnappe - détail'!R78</f>
        <v>250000</v>
      </c>
      <c r="K79" s="1023" t="s">
        <v>506</v>
      </c>
      <c r="L79" s="1024" t="s">
        <v>1380</v>
      </c>
      <c r="M79" s="990" t="s">
        <v>505</v>
      </c>
      <c r="N79" s="990">
        <f t="shared" ref="N79:N125" si="2">J79*2</f>
        <v>500000</v>
      </c>
      <c r="O79" s="585" t="s">
        <v>524</v>
      </c>
      <c r="P79" s="627"/>
    </row>
    <row r="80" spans="2:16" ht="30">
      <c r="B80" s="121">
        <v>73</v>
      </c>
      <c r="C80" s="217" t="s">
        <v>223</v>
      </c>
      <c r="D80" s="1041" t="s">
        <v>1570</v>
      </c>
      <c r="E80" s="1096" t="s">
        <v>506</v>
      </c>
      <c r="F80" s="1097"/>
      <c r="G80" s="1097"/>
      <c r="H80" s="1097"/>
      <c r="I80" s="1098"/>
      <c r="J80" s="990" t="s">
        <v>505</v>
      </c>
      <c r="K80" s="1023" t="s">
        <v>505</v>
      </c>
      <c r="L80" s="1023"/>
      <c r="M80" s="990" t="s">
        <v>507</v>
      </c>
      <c r="N80" s="990" t="s">
        <v>505</v>
      </c>
      <c r="O80" s="583" t="s">
        <v>525</v>
      </c>
      <c r="P80" s="65"/>
    </row>
    <row r="81" spans="2:16" ht="61.5" customHeight="1">
      <c r="B81" s="121">
        <v>74</v>
      </c>
      <c r="C81" s="217" t="s">
        <v>354</v>
      </c>
      <c r="D81" s="1041" t="s">
        <v>1718</v>
      </c>
      <c r="E81" s="1096" t="s">
        <v>506</v>
      </c>
      <c r="F81" s="1097"/>
      <c r="G81" s="1097"/>
      <c r="H81" s="1097"/>
      <c r="I81" s="1098"/>
      <c r="J81" s="990">
        <f>'[3]VLnappe - détail'!R80</f>
        <v>50000</v>
      </c>
      <c r="K81" s="1023" t="s">
        <v>506</v>
      </c>
      <c r="L81" s="1024" t="s">
        <v>1380</v>
      </c>
      <c r="M81" s="990" t="s">
        <v>507</v>
      </c>
      <c r="N81" s="990">
        <f t="shared" si="2"/>
        <v>100000</v>
      </c>
      <c r="O81" s="585" t="s">
        <v>526</v>
      </c>
      <c r="P81" s="65"/>
    </row>
    <row r="82" spans="2:16" ht="75">
      <c r="B82" s="121">
        <v>75</v>
      </c>
      <c r="C82" s="217" t="s">
        <v>355</v>
      </c>
      <c r="D82" s="1041" t="s">
        <v>1719</v>
      </c>
      <c r="E82" s="1096" t="s">
        <v>506</v>
      </c>
      <c r="F82" s="1097"/>
      <c r="G82" s="1097"/>
      <c r="H82" s="1097"/>
      <c r="I82" s="1098"/>
      <c r="J82" s="990">
        <f>'[3]VLnappe - détail'!R81</f>
        <v>100</v>
      </c>
      <c r="K82" s="1023" t="s">
        <v>506</v>
      </c>
      <c r="L82" s="1024" t="s">
        <v>1380</v>
      </c>
      <c r="M82" s="990" t="s">
        <v>507</v>
      </c>
      <c r="N82" s="990">
        <f t="shared" si="2"/>
        <v>200</v>
      </c>
      <c r="O82" s="583" t="s">
        <v>527</v>
      </c>
      <c r="P82" s="65"/>
    </row>
    <row r="83" spans="2:16">
      <c r="B83" s="121">
        <v>76</v>
      </c>
      <c r="C83" s="66" t="s">
        <v>79</v>
      </c>
      <c r="D83" s="1041" t="s">
        <v>1548</v>
      </c>
      <c r="E83" s="996">
        <f>'[3]VLH - détail'!F91</f>
        <v>1000000</v>
      </c>
      <c r="F83" s="996"/>
      <c r="G83" s="994">
        <f>'[3]VLH - détail'!I91</f>
        <v>2904.9020293056128</v>
      </c>
      <c r="H83" s="994">
        <f>'[3]VLH - détail'!O91</f>
        <v>12249.239915349706</v>
      </c>
      <c r="I83" s="994">
        <f>'[3]VLH - détail'!P91</f>
        <v>12249.239915349706</v>
      </c>
      <c r="J83" s="990">
        <f>'[3]VLnappe - détail'!R82</f>
        <v>410</v>
      </c>
      <c r="K83" s="1003">
        <v>1.9155</v>
      </c>
      <c r="L83" s="1003"/>
      <c r="M83" s="990">
        <v>14778842.432476809</v>
      </c>
      <c r="N83" s="990">
        <f t="shared" si="2"/>
        <v>820</v>
      </c>
      <c r="O83" s="223"/>
      <c r="P83" s="65"/>
    </row>
    <row r="84" spans="2:16">
      <c r="B84" s="121">
        <v>77</v>
      </c>
      <c r="C84" s="217" t="s">
        <v>80</v>
      </c>
      <c r="D84" s="1041" t="s">
        <v>1705</v>
      </c>
      <c r="E84" s="996">
        <f>'[3]VLH - détail'!F92</f>
        <v>132189.78663510387</v>
      </c>
      <c r="F84" s="996"/>
      <c r="G84" s="994">
        <f>'[3]VLH - détail'!I92</f>
        <v>1551.7523352655483</v>
      </c>
      <c r="H84" s="994">
        <f>'[3]VLH - détail'!O92</f>
        <v>6561.4516336929273</v>
      </c>
      <c r="I84" s="994">
        <f>'[3]VLH - détail'!P92</f>
        <v>6561.4516336929273</v>
      </c>
      <c r="J84" s="990">
        <f>'[3]VLnappe - détail'!R83</f>
        <v>20000</v>
      </c>
      <c r="K84" s="1003">
        <v>91.834100000000007</v>
      </c>
      <c r="L84" s="1003"/>
      <c r="M84" s="990">
        <v>8110329.1673922986</v>
      </c>
      <c r="N84" s="990">
        <f t="shared" si="2"/>
        <v>40000</v>
      </c>
      <c r="O84" s="223"/>
      <c r="P84" s="65"/>
    </row>
    <row r="85" spans="2:16" ht="15" customHeight="1">
      <c r="B85" s="121">
        <v>78</v>
      </c>
      <c r="C85" s="217" t="s">
        <v>57</v>
      </c>
      <c r="D85" s="1041" t="s">
        <v>1546</v>
      </c>
      <c r="E85" s="996">
        <f>'[3]VLH - détail'!F93</f>
        <v>102891.31427988413</v>
      </c>
      <c r="F85" s="996"/>
      <c r="G85" s="994">
        <f>'[3]VLH - détail'!I93</f>
        <v>46.239879433657372</v>
      </c>
      <c r="H85" s="994">
        <f>'[3]VLH - détail'!O93</f>
        <v>7638.3524440680731</v>
      </c>
      <c r="I85" s="994">
        <f>'[3]VLH - détail'!P93</f>
        <v>7638.3524440680731</v>
      </c>
      <c r="J85" s="990">
        <f>'[3]VLnappe - détail'!R84</f>
        <v>5600</v>
      </c>
      <c r="K85" s="1003">
        <v>62.624699999999997</v>
      </c>
      <c r="L85" s="1003"/>
      <c r="M85" s="990">
        <v>9503559.0253671128</v>
      </c>
      <c r="N85" s="990">
        <f t="shared" si="2"/>
        <v>11200</v>
      </c>
      <c r="O85" s="223"/>
      <c r="P85" s="65"/>
    </row>
    <row r="86" spans="2:16">
      <c r="B86" s="121">
        <v>79</v>
      </c>
      <c r="C86" s="217" t="s">
        <v>60</v>
      </c>
      <c r="D86" s="1041" t="s">
        <v>1562</v>
      </c>
      <c r="E86" s="996">
        <f>'[3]VLH - détail'!F94</f>
        <v>182888.49485101629</v>
      </c>
      <c r="F86" s="996"/>
      <c r="G86" s="994">
        <f>'[3]VLH - détail'!I94</f>
        <v>76.471970905360237</v>
      </c>
      <c r="H86" s="994">
        <f>'[3]VLH - détail'!O94</f>
        <v>45976.789528208894</v>
      </c>
      <c r="I86" s="994">
        <f>'[3]VLH - détail'!P94</f>
        <v>45976.789528208894</v>
      </c>
      <c r="J86" s="990">
        <f>'[3]VLnappe - détail'!R85</f>
        <v>14000</v>
      </c>
      <c r="K86" s="1003">
        <v>64.782399999999996</v>
      </c>
      <c r="L86" s="1003"/>
      <c r="M86" s="990">
        <v>58127553.583142787</v>
      </c>
      <c r="N86" s="990">
        <f t="shared" si="2"/>
        <v>28000</v>
      </c>
      <c r="O86" s="223"/>
      <c r="P86" s="65"/>
    </row>
    <row r="87" spans="2:16" s="631" customFormat="1">
      <c r="B87" s="649">
        <v>80</v>
      </c>
      <c r="C87" s="617" t="s">
        <v>188</v>
      </c>
      <c r="D87" s="1041" t="s">
        <v>1758</v>
      </c>
      <c r="E87" s="995">
        <f>'[3]VLH - détail'!F95</f>
        <v>81.663115935719944</v>
      </c>
      <c r="F87" s="995"/>
      <c r="G87" s="990">
        <f>'[3]VLH - détail'!I95</f>
        <v>1.6311214258584165E-2</v>
      </c>
      <c r="H87" s="990">
        <f>'[3]VLH - détail'!O95</f>
        <v>81.663115935719944</v>
      </c>
      <c r="I87" s="990">
        <f>'[3]VLH - détail'!P95</f>
        <v>151.05058289660283</v>
      </c>
      <c r="J87" s="990">
        <v>0.7</v>
      </c>
      <c r="K87" s="1003">
        <v>3.5999999999999999E-3</v>
      </c>
      <c r="L87" s="1003"/>
      <c r="M87" s="990" t="s">
        <v>511</v>
      </c>
      <c r="N87" s="990">
        <f t="shared" si="2"/>
        <v>1.4</v>
      </c>
      <c r="O87" s="734"/>
      <c r="P87" s="627"/>
    </row>
    <row r="88" spans="2:16">
      <c r="B88" s="121">
        <v>81</v>
      </c>
      <c r="C88" s="66" t="s">
        <v>190</v>
      </c>
      <c r="D88" s="1041" t="s">
        <v>1498</v>
      </c>
      <c r="E88" s="996">
        <f>'[3]VLH - détail'!F96</f>
        <v>116.76512301839577</v>
      </c>
      <c r="F88" s="996"/>
      <c r="G88" s="994">
        <f>'[3]VLH - détail'!I96</f>
        <v>3.5306628824072255E-2</v>
      </c>
      <c r="H88" s="994">
        <f>'[3]VLH - détail'!O96</f>
        <v>116.76512301839577</v>
      </c>
      <c r="I88" s="994">
        <f>'[3]VLH - détail'!P96</f>
        <v>534.07170381298852</v>
      </c>
      <c r="J88" s="990">
        <f>'[3]VLnappe - détail'!R87</f>
        <v>2.5</v>
      </c>
      <c r="K88" s="1003">
        <v>2.4500000000000001E-2</v>
      </c>
      <c r="L88" s="1003"/>
      <c r="M88" s="990" t="s">
        <v>511</v>
      </c>
      <c r="N88" s="990">
        <f t="shared" si="2"/>
        <v>5</v>
      </c>
      <c r="O88" s="223"/>
      <c r="P88" s="65"/>
    </row>
    <row r="89" spans="2:16">
      <c r="B89" s="121">
        <v>82</v>
      </c>
      <c r="C89" s="217" t="s">
        <v>191</v>
      </c>
      <c r="D89" s="1041" t="s">
        <v>1685</v>
      </c>
      <c r="E89" s="996">
        <f>'[3]VLH - détail'!F97</f>
        <v>11676.512301839577</v>
      </c>
      <c r="F89" s="996"/>
      <c r="G89" s="994">
        <f>'[3]VLH - détail'!I97</f>
        <v>4997.0585484187868</v>
      </c>
      <c r="H89" s="994">
        <f>'[3]VLH - détail'!O97</f>
        <v>11676.512301839577</v>
      </c>
      <c r="I89" s="994">
        <f>'[3]VLH - détail'!P97</f>
        <v>53407.170381298849</v>
      </c>
      <c r="J89" s="990">
        <f>'[3]VLnappe - détail'!R88</f>
        <v>300</v>
      </c>
      <c r="K89" s="1003">
        <v>1.4096</v>
      </c>
      <c r="L89" s="1003"/>
      <c r="M89" s="990" t="s">
        <v>511</v>
      </c>
      <c r="N89" s="990">
        <f t="shared" si="2"/>
        <v>600</v>
      </c>
      <c r="O89" s="223"/>
      <c r="P89" s="65"/>
    </row>
    <row r="90" spans="2:16">
      <c r="B90" s="121">
        <v>83</v>
      </c>
      <c r="C90" s="217" t="s">
        <v>356</v>
      </c>
      <c r="D90" s="1041" t="s">
        <v>1653</v>
      </c>
      <c r="E90" s="996">
        <f>'[3]VLH - détail'!F98</f>
        <v>5838.2561509197885</v>
      </c>
      <c r="F90" s="996"/>
      <c r="G90" s="994">
        <f>'[3]VLH - détail'!I98</f>
        <v>1.9769159154842482</v>
      </c>
      <c r="H90" s="994">
        <f>'[3]VLH - détail'!O98</f>
        <v>5838.2561509197885</v>
      </c>
      <c r="I90" s="994">
        <f>'[3]VLH - détail'!P98</f>
        <v>26703.585190649424</v>
      </c>
      <c r="J90" s="990">
        <f>'[3]VLnappe - détail'!R89</f>
        <v>310</v>
      </c>
      <c r="K90" s="1003">
        <v>56.515300000000003</v>
      </c>
      <c r="L90" s="1003"/>
      <c r="M90" s="990" t="s">
        <v>511</v>
      </c>
      <c r="N90" s="990">
        <f t="shared" si="2"/>
        <v>620</v>
      </c>
      <c r="O90" s="223"/>
      <c r="P90" s="65"/>
    </row>
    <row r="91" spans="2:16">
      <c r="B91" s="121">
        <v>84</v>
      </c>
      <c r="C91" s="66" t="s">
        <v>192</v>
      </c>
      <c r="D91" s="1041" t="s">
        <v>1482</v>
      </c>
      <c r="E91" s="996">
        <f>'[3]VLH - détail'!F99</f>
        <v>7005.9073811037451</v>
      </c>
      <c r="F91" s="996"/>
      <c r="G91" s="994">
        <f>'[3]VLH - détail'!I99</f>
        <v>1.8545866093730441</v>
      </c>
      <c r="H91" s="994">
        <f>'[3]VLH - détail'!O99</f>
        <v>7005.9073811037451</v>
      </c>
      <c r="I91" s="994">
        <f>'[3]VLH - détail'!P99</f>
        <v>32044.30222877931</v>
      </c>
      <c r="J91" s="990">
        <f>'[3]VLnappe - détail'!R90</f>
        <v>590</v>
      </c>
      <c r="K91" s="1003">
        <v>3.4592999999999998</v>
      </c>
      <c r="L91" s="1003"/>
      <c r="M91" s="990" t="s">
        <v>511</v>
      </c>
      <c r="N91" s="990">
        <f t="shared" si="2"/>
        <v>1180</v>
      </c>
      <c r="O91" s="223"/>
      <c r="P91" s="65"/>
    </row>
    <row r="92" spans="2:16">
      <c r="B92" s="121">
        <v>85</v>
      </c>
      <c r="C92" s="217" t="s">
        <v>61</v>
      </c>
      <c r="D92" s="1041" t="s">
        <v>1565</v>
      </c>
      <c r="E92" s="996">
        <f>'[3]VLH - détail'!F100</f>
        <v>2765.3862817462082</v>
      </c>
      <c r="F92" s="996"/>
      <c r="G92" s="994">
        <f>'[3]VLH - détail'!I100</f>
        <v>23.083695369697121</v>
      </c>
      <c r="H92" s="994">
        <f>'[3]VLH - détail'!O100</f>
        <v>97.323771501693329</v>
      </c>
      <c r="I92" s="994">
        <f>'[3]VLH - détail'!P100</f>
        <v>97.323771501693329</v>
      </c>
      <c r="J92" s="990">
        <f>'[3]VLnappe - détail'!R91</f>
        <v>130</v>
      </c>
      <c r="K92" s="1003">
        <v>0.60029999999999994</v>
      </c>
      <c r="L92" s="1003"/>
      <c r="M92" s="990">
        <v>118955.62780777547</v>
      </c>
      <c r="N92" s="990">
        <f t="shared" si="2"/>
        <v>260</v>
      </c>
      <c r="O92" s="223"/>
      <c r="P92" s="65"/>
    </row>
    <row r="93" spans="2:16">
      <c r="B93" s="121">
        <v>86</v>
      </c>
      <c r="C93" s="30" t="s">
        <v>357</v>
      </c>
      <c r="D93" s="1041" t="s">
        <v>1508</v>
      </c>
      <c r="E93" s="1096" t="s">
        <v>506</v>
      </c>
      <c r="F93" s="1097"/>
      <c r="G93" s="1097"/>
      <c r="H93" s="1097"/>
      <c r="I93" s="1098"/>
      <c r="J93" s="990">
        <f>'[3]VLnappe - détail'!R92</f>
        <v>39</v>
      </c>
      <c r="K93" s="1023">
        <v>2.4737</v>
      </c>
      <c r="L93" s="1023"/>
      <c r="M93" s="990" t="s">
        <v>507</v>
      </c>
      <c r="N93" s="990">
        <f t="shared" si="2"/>
        <v>78</v>
      </c>
      <c r="O93" s="223"/>
      <c r="P93" s="65"/>
    </row>
    <row r="94" spans="2:16">
      <c r="B94" s="121">
        <v>87</v>
      </c>
      <c r="C94" s="30" t="s">
        <v>358</v>
      </c>
      <c r="D94" s="1041" t="s">
        <v>1520</v>
      </c>
      <c r="E94" s="1096" t="s">
        <v>506</v>
      </c>
      <c r="F94" s="1097"/>
      <c r="G94" s="1097"/>
      <c r="H94" s="1097"/>
      <c r="I94" s="1098"/>
      <c r="J94" s="990">
        <f>'[3]VLnappe - détail'!R93</f>
        <v>39</v>
      </c>
      <c r="K94" s="1023">
        <v>2.4737</v>
      </c>
      <c r="L94" s="1023"/>
      <c r="M94" s="990" t="s">
        <v>507</v>
      </c>
      <c r="N94" s="990">
        <f t="shared" si="2"/>
        <v>78</v>
      </c>
      <c r="O94" s="223"/>
      <c r="P94" s="65"/>
    </row>
    <row r="95" spans="2:16" ht="60">
      <c r="B95" s="121">
        <v>88</v>
      </c>
      <c r="C95" s="217" t="s">
        <v>359</v>
      </c>
      <c r="D95" s="1041" t="s">
        <v>1722</v>
      </c>
      <c r="E95" s="1096" t="s">
        <v>506</v>
      </c>
      <c r="F95" s="1097"/>
      <c r="G95" s="1097"/>
      <c r="H95" s="1097"/>
      <c r="I95" s="1098"/>
      <c r="J95" s="990">
        <f>'[3]VLnappe - détail'!R94</f>
        <v>2</v>
      </c>
      <c r="K95" s="1003">
        <v>5.9200000000000003E-2</v>
      </c>
      <c r="L95" s="1003"/>
      <c r="M95" s="990" t="s">
        <v>507</v>
      </c>
      <c r="N95" s="990">
        <f t="shared" si="2"/>
        <v>4</v>
      </c>
      <c r="O95" s="583" t="s">
        <v>528</v>
      </c>
      <c r="P95" s="65"/>
    </row>
    <row r="96" spans="2:16">
      <c r="B96" s="121">
        <v>89</v>
      </c>
      <c r="C96" s="217" t="s">
        <v>360</v>
      </c>
      <c r="D96" s="1041" t="s">
        <v>1745</v>
      </c>
      <c r="E96" s="1096" t="s">
        <v>506</v>
      </c>
      <c r="F96" s="1097"/>
      <c r="G96" s="1097"/>
      <c r="H96" s="1097"/>
      <c r="I96" s="1098"/>
      <c r="J96" s="990">
        <f>'[3]VLnappe - détail'!R95</f>
        <v>19</v>
      </c>
      <c r="K96" s="1023">
        <v>0.47</v>
      </c>
      <c r="L96" s="1023"/>
      <c r="M96" s="990" t="s">
        <v>507</v>
      </c>
      <c r="N96" s="990">
        <f t="shared" si="2"/>
        <v>38</v>
      </c>
      <c r="O96" s="223"/>
      <c r="P96" s="65"/>
    </row>
    <row r="97" spans="2:16">
      <c r="B97" s="121">
        <v>90</v>
      </c>
      <c r="C97" s="217" t="s">
        <v>47</v>
      </c>
      <c r="D97" s="1041" t="s">
        <v>1466</v>
      </c>
      <c r="E97" s="996">
        <f>'[3]VLH - détail'!F105</f>
        <v>20.319793706751607</v>
      </c>
      <c r="F97" s="996"/>
      <c r="G97" s="994">
        <f>'[3]VLH - détail'!I105</f>
        <v>1.383348914369399E-2</v>
      </c>
      <c r="H97" s="994">
        <f>'[3]VLH - détail'!O105</f>
        <v>0.61759195926919686</v>
      </c>
      <c r="I97" s="994">
        <f>'[3]VLH - détail'!P105</f>
        <v>0.61759195926919686</v>
      </c>
      <c r="J97" s="990">
        <f>'[3]VLnappe - détail'!R96</f>
        <v>7.5999999999999998E-2</v>
      </c>
      <c r="K97" s="1003">
        <v>2.2000000000000001E-3</v>
      </c>
      <c r="L97" s="1003"/>
      <c r="M97" s="990">
        <v>75.44516621158877</v>
      </c>
      <c r="N97" s="990">
        <f t="shared" si="2"/>
        <v>0.152</v>
      </c>
      <c r="O97" s="223"/>
      <c r="P97" s="65"/>
    </row>
    <row r="98" spans="2:16">
      <c r="B98" s="121">
        <v>91</v>
      </c>
      <c r="C98" s="217" t="s">
        <v>56</v>
      </c>
      <c r="D98" s="1041" t="s">
        <v>1532</v>
      </c>
      <c r="E98" s="996">
        <f>'[3]VLH - détail'!F106</f>
        <v>23353.024603679154</v>
      </c>
      <c r="F98" s="996"/>
      <c r="G98" s="994">
        <f>'[3]VLH - détail'!I106</f>
        <v>7.9058585632262748</v>
      </c>
      <c r="H98" s="994">
        <f>'[3]VLH - détail'!O106</f>
        <v>23353.024603679154</v>
      </c>
      <c r="I98" s="994">
        <f>'[3]VLH - détail'!P106</f>
        <v>106814.3407625977</v>
      </c>
      <c r="J98" s="990">
        <f>'[3]VLnappe - détail'!R97</f>
        <v>2000</v>
      </c>
      <c r="K98" s="1003">
        <v>10.8942</v>
      </c>
      <c r="L98" s="1003"/>
      <c r="M98" s="990" t="s">
        <v>511</v>
      </c>
      <c r="N98" s="990">
        <f t="shared" si="2"/>
        <v>4000</v>
      </c>
      <c r="O98" s="223"/>
      <c r="P98" s="65"/>
    </row>
    <row r="99" spans="2:16">
      <c r="B99" s="121">
        <v>92</v>
      </c>
      <c r="C99" s="221" t="s">
        <v>361</v>
      </c>
      <c r="D99" s="1041" t="s">
        <v>1477</v>
      </c>
      <c r="E99" s="994">
        <v>19290</v>
      </c>
      <c r="F99" s="994">
        <v>3.145</v>
      </c>
      <c r="G99" s="994">
        <v>3.1629999999999998</v>
      </c>
      <c r="H99" s="994">
        <v>36.26</v>
      </c>
      <c r="I99" s="994">
        <v>36.99</v>
      </c>
      <c r="J99" s="990">
        <f>'[3]VLnappe - détail'!R98</f>
        <v>150</v>
      </c>
      <c r="K99" s="1003">
        <v>40.92</v>
      </c>
      <c r="L99" s="990"/>
      <c r="M99" s="990">
        <v>780.7</v>
      </c>
      <c r="N99" s="990">
        <f t="shared" si="2"/>
        <v>300</v>
      </c>
      <c r="O99" s="223"/>
      <c r="P99" s="65"/>
    </row>
    <row r="100" spans="2:16">
      <c r="B100" s="121">
        <v>93</v>
      </c>
      <c r="C100" s="66" t="s">
        <v>362</v>
      </c>
      <c r="D100" s="1041" t="s">
        <v>1531</v>
      </c>
      <c r="E100" s="994">
        <v>17400</v>
      </c>
      <c r="F100" s="994">
        <v>1.387</v>
      </c>
      <c r="G100" s="994">
        <v>1.3939999999999999</v>
      </c>
      <c r="H100" s="994">
        <v>15.95</v>
      </c>
      <c r="I100" s="994">
        <v>16.29</v>
      </c>
      <c r="J100" s="990">
        <f>'[3]VLnappe - détail'!R99</f>
        <v>150</v>
      </c>
      <c r="K100" s="1003">
        <v>22.2</v>
      </c>
      <c r="L100" s="990"/>
      <c r="M100" s="990">
        <v>637.5</v>
      </c>
      <c r="N100" s="990">
        <f t="shared" si="2"/>
        <v>300</v>
      </c>
      <c r="O100" s="223"/>
      <c r="P100" s="65"/>
    </row>
    <row r="101" spans="2:16">
      <c r="B101" s="121">
        <v>94</v>
      </c>
      <c r="C101" s="217" t="s">
        <v>363</v>
      </c>
      <c r="D101" s="1041" t="s">
        <v>1760</v>
      </c>
      <c r="E101" s="1096" t="s">
        <v>506</v>
      </c>
      <c r="F101" s="1097"/>
      <c r="G101" s="1097"/>
      <c r="H101" s="1097"/>
      <c r="I101" s="1098"/>
      <c r="J101" s="990">
        <f>'[3]VLnappe - détail'!R100</f>
        <v>260</v>
      </c>
      <c r="K101" s="1003">
        <v>218.21</v>
      </c>
      <c r="L101" s="1003"/>
      <c r="M101" s="990" t="s">
        <v>507</v>
      </c>
      <c r="N101" s="990">
        <f t="shared" si="2"/>
        <v>520</v>
      </c>
      <c r="O101" s="223"/>
      <c r="P101" s="65"/>
    </row>
    <row r="102" spans="2:16">
      <c r="B102" s="121">
        <v>95</v>
      </c>
      <c r="C102" s="217" t="s">
        <v>364</v>
      </c>
      <c r="D102" s="1041" t="s">
        <v>1777</v>
      </c>
      <c r="E102" s="1096" t="s">
        <v>506</v>
      </c>
      <c r="F102" s="1097"/>
      <c r="G102" s="1097"/>
      <c r="H102" s="1097"/>
      <c r="I102" s="1098"/>
      <c r="J102" s="990">
        <f>'[3]VLnappe - détail'!R101</f>
        <v>260</v>
      </c>
      <c r="K102" s="1003">
        <v>286.74</v>
      </c>
      <c r="L102" s="1003"/>
      <c r="M102" s="990" t="s">
        <v>507</v>
      </c>
      <c r="N102" s="990">
        <f t="shared" si="2"/>
        <v>520</v>
      </c>
      <c r="O102" s="223"/>
      <c r="P102" s="65"/>
    </row>
    <row r="103" spans="2:16" ht="45">
      <c r="B103" s="121">
        <v>96</v>
      </c>
      <c r="C103" s="217" t="s">
        <v>365</v>
      </c>
      <c r="D103" s="1041" t="s">
        <v>1527</v>
      </c>
      <c r="E103" s="1096" t="s">
        <v>506</v>
      </c>
      <c r="F103" s="1097"/>
      <c r="G103" s="1097"/>
      <c r="H103" s="1097"/>
      <c r="I103" s="1098"/>
      <c r="J103" s="990" t="str">
        <f>'[3]VLnappe - détail'!R102</f>
        <v>NA</v>
      </c>
      <c r="K103" s="1023" t="s">
        <v>506</v>
      </c>
      <c r="L103" s="1024" t="s">
        <v>1379</v>
      </c>
      <c r="M103" s="990" t="s">
        <v>507</v>
      </c>
      <c r="N103" s="990" t="s">
        <v>506</v>
      </c>
      <c r="O103" s="223"/>
      <c r="P103" s="65"/>
    </row>
    <row r="104" spans="2:16" ht="45">
      <c r="B104" s="121">
        <v>97</v>
      </c>
      <c r="C104" s="66" t="s">
        <v>366</v>
      </c>
      <c r="D104" s="1041" t="s">
        <v>1668</v>
      </c>
      <c r="E104" s="1096" t="s">
        <v>506</v>
      </c>
      <c r="F104" s="1097"/>
      <c r="G104" s="1097"/>
      <c r="H104" s="1097"/>
      <c r="I104" s="1098"/>
      <c r="J104" s="990" t="str">
        <f>'[3]VLnappe - détail'!R103</f>
        <v>NA</v>
      </c>
      <c r="K104" s="1023" t="s">
        <v>506</v>
      </c>
      <c r="L104" s="1024" t="s">
        <v>1379</v>
      </c>
      <c r="M104" s="990" t="s">
        <v>507</v>
      </c>
      <c r="N104" s="990" t="s">
        <v>506</v>
      </c>
      <c r="O104" s="223"/>
      <c r="P104" s="65"/>
    </row>
    <row r="105" spans="2:16" ht="45" customHeight="1">
      <c r="B105" s="121">
        <v>98</v>
      </c>
      <c r="C105" s="217" t="s">
        <v>367</v>
      </c>
      <c r="D105" s="1041" t="s">
        <v>1535</v>
      </c>
      <c r="E105" s="1096" t="s">
        <v>506</v>
      </c>
      <c r="F105" s="1097"/>
      <c r="G105" s="1097"/>
      <c r="H105" s="1097"/>
      <c r="I105" s="1098"/>
      <c r="J105" s="990" t="str">
        <f>'[3]VLnappe - détail'!R104</f>
        <v>NA</v>
      </c>
      <c r="K105" s="1023" t="s">
        <v>506</v>
      </c>
      <c r="L105" s="1024" t="s">
        <v>1379</v>
      </c>
      <c r="M105" s="990" t="s">
        <v>507</v>
      </c>
      <c r="N105" s="990" t="s">
        <v>506</v>
      </c>
      <c r="O105" s="130" t="s">
        <v>1363</v>
      </c>
      <c r="P105" s="65"/>
    </row>
    <row r="106" spans="2:16" ht="45">
      <c r="B106" s="121">
        <v>99</v>
      </c>
      <c r="C106" s="217" t="s">
        <v>368</v>
      </c>
      <c r="D106" s="1041" t="s">
        <v>1642</v>
      </c>
      <c r="E106" s="1096" t="s">
        <v>506</v>
      </c>
      <c r="F106" s="1097"/>
      <c r="G106" s="1097"/>
      <c r="H106" s="1097"/>
      <c r="I106" s="1098"/>
      <c r="J106" s="990" t="s">
        <v>506</v>
      </c>
      <c r="K106" s="1023" t="s">
        <v>506</v>
      </c>
      <c r="L106" s="1024" t="s">
        <v>1379</v>
      </c>
      <c r="M106" s="990" t="s">
        <v>507</v>
      </c>
      <c r="N106" s="990" t="s">
        <v>506</v>
      </c>
      <c r="O106" s="586" t="s">
        <v>529</v>
      </c>
      <c r="P106" s="65"/>
    </row>
    <row r="107" spans="2:16">
      <c r="B107" s="121">
        <v>100</v>
      </c>
      <c r="C107" s="30" t="s">
        <v>369</v>
      </c>
      <c r="D107" s="1041" t="s">
        <v>1558</v>
      </c>
      <c r="E107" s="1096" t="s">
        <v>506</v>
      </c>
      <c r="F107" s="1097"/>
      <c r="G107" s="1097"/>
      <c r="H107" s="1097"/>
      <c r="I107" s="1098"/>
      <c r="J107" s="990">
        <f>'[3]VLnappe - détail'!R106</f>
        <v>260</v>
      </c>
      <c r="K107" s="1003">
        <v>41.302199999999999</v>
      </c>
      <c r="L107" s="1003"/>
      <c r="M107" s="990" t="s">
        <v>507</v>
      </c>
      <c r="N107" s="990">
        <f t="shared" si="2"/>
        <v>520</v>
      </c>
      <c r="O107" s="223"/>
      <c r="P107" s="65"/>
    </row>
    <row r="108" spans="2:16">
      <c r="B108" s="121">
        <v>101</v>
      </c>
      <c r="C108" s="217" t="s">
        <v>370</v>
      </c>
      <c r="D108" s="1041" t="s">
        <v>1717</v>
      </c>
      <c r="E108" s="1096" t="s">
        <v>506</v>
      </c>
      <c r="F108" s="1097"/>
      <c r="G108" s="1097"/>
      <c r="H108" s="1097"/>
      <c r="I108" s="1098"/>
      <c r="J108" s="990">
        <f>'[3]VLnappe - détail'!R107</f>
        <v>1000</v>
      </c>
      <c r="K108" s="1003">
        <v>474.83</v>
      </c>
      <c r="L108" s="1003"/>
      <c r="M108" s="990" t="s">
        <v>507</v>
      </c>
      <c r="N108" s="990">
        <f t="shared" si="2"/>
        <v>2000</v>
      </c>
      <c r="O108" s="223"/>
      <c r="P108" s="65"/>
    </row>
    <row r="109" spans="2:16">
      <c r="B109" s="121">
        <v>102</v>
      </c>
      <c r="C109" s="217" t="s">
        <v>112</v>
      </c>
      <c r="D109" s="1041" t="s">
        <v>1605</v>
      </c>
      <c r="E109" s="996">
        <f>'[3]VLH - détail'!F117</f>
        <v>46505.798913669598</v>
      </c>
      <c r="F109" s="996"/>
      <c r="G109" s="994">
        <f>'[3]VLH - détail'!I117</f>
        <v>24.01941644240625</v>
      </c>
      <c r="H109" s="994">
        <f>'[3]VLH - détail'!O117</f>
        <v>46045.773936902682</v>
      </c>
      <c r="I109" s="994">
        <f>'[3]VLH - détail'!P117</f>
        <v>212808.99297273095</v>
      </c>
      <c r="J109" s="990">
        <f>'[3]VLnappe - détail'!R108</f>
        <v>16</v>
      </c>
      <c r="K109" s="1003">
        <v>11.1365</v>
      </c>
      <c r="L109" s="1003"/>
      <c r="M109" s="990" t="s">
        <v>511</v>
      </c>
      <c r="N109" s="990">
        <f t="shared" si="2"/>
        <v>32</v>
      </c>
      <c r="O109" s="223"/>
      <c r="P109" s="65"/>
    </row>
    <row r="110" spans="2:16">
      <c r="B110" s="121">
        <v>103</v>
      </c>
      <c r="C110" s="217" t="s">
        <v>113</v>
      </c>
      <c r="D110" s="1041" t="s">
        <v>1640</v>
      </c>
      <c r="E110" s="996">
        <f>'[3]VLH - détail'!F118</f>
        <v>107789.24049059166</v>
      </c>
      <c r="F110" s="996"/>
      <c r="G110" s="994">
        <f>'[3]VLH - détail'!I118</f>
        <v>134.55347642306737</v>
      </c>
      <c r="H110" s="994">
        <f>'[3]VLH - détail'!O118</f>
        <v>95273.381506507925</v>
      </c>
      <c r="I110" s="994">
        <f>'[3]VLH - détail'!P118</f>
        <v>687965.68187813996</v>
      </c>
      <c r="J110" s="990">
        <f>'[3]VLnappe - détail'!R109</f>
        <v>15000</v>
      </c>
      <c r="K110" s="1003">
        <v>693.60019999999997</v>
      </c>
      <c r="L110" s="1003"/>
      <c r="M110" s="990" t="s">
        <v>511</v>
      </c>
      <c r="N110" s="990">
        <f t="shared" si="2"/>
        <v>30000</v>
      </c>
      <c r="O110" s="223"/>
      <c r="P110" s="65"/>
    </row>
    <row r="111" spans="2:16">
      <c r="B111" s="121">
        <v>104</v>
      </c>
      <c r="C111" s="217" t="s">
        <v>114</v>
      </c>
      <c r="D111" s="1041" t="s">
        <v>1649</v>
      </c>
      <c r="E111" s="996">
        <f>'[3]VLH - détail'!F119</f>
        <v>11199.129919423856</v>
      </c>
      <c r="F111" s="996"/>
      <c r="G111" s="994">
        <f>'[3]VLH - détail'!I119</f>
        <v>4.099044215689216</v>
      </c>
      <c r="H111" s="994">
        <f>'[3]VLH - détail'!O119</f>
        <v>7936.1260786617704</v>
      </c>
      <c r="I111" s="994">
        <f>'[3]VLH - détail'!P119</f>
        <v>50662.30564119522</v>
      </c>
      <c r="J111" s="990">
        <f>'[3]VLnappe - détail'!R110</f>
        <v>900</v>
      </c>
      <c r="K111" s="1003">
        <v>338.31909999999999</v>
      </c>
      <c r="L111" s="1003"/>
      <c r="M111" s="990" t="s">
        <v>511</v>
      </c>
      <c r="N111" s="990">
        <f t="shared" si="2"/>
        <v>1800</v>
      </c>
      <c r="O111" s="223"/>
      <c r="P111" s="65"/>
    </row>
    <row r="112" spans="2:16" s="631" customFormat="1">
      <c r="B112" s="649">
        <v>105</v>
      </c>
      <c r="C112" s="617" t="s">
        <v>371</v>
      </c>
      <c r="D112" s="1041" t="s">
        <v>372</v>
      </c>
      <c r="E112" s="1093" t="s">
        <v>506</v>
      </c>
      <c r="F112" s="1094"/>
      <c r="G112" s="1094"/>
      <c r="H112" s="1094"/>
      <c r="I112" s="1095"/>
      <c r="J112" s="990">
        <f>'[3]VLnappe - détail'!R111</f>
        <v>0.1</v>
      </c>
      <c r="K112" s="1003">
        <v>0.13220000000000001</v>
      </c>
      <c r="L112" s="1003"/>
      <c r="M112" s="990" t="s">
        <v>507</v>
      </c>
      <c r="N112" s="990">
        <f t="shared" si="2"/>
        <v>0.2</v>
      </c>
      <c r="O112" s="734"/>
      <c r="P112" s="627"/>
    </row>
    <row r="113" spans="2:16" s="631" customFormat="1">
      <c r="B113" s="649">
        <v>106</v>
      </c>
      <c r="C113" s="617" t="s">
        <v>373</v>
      </c>
      <c r="D113" s="1041" t="s">
        <v>1635</v>
      </c>
      <c r="E113" s="1093" t="s">
        <v>506</v>
      </c>
      <c r="F113" s="1094"/>
      <c r="G113" s="1094"/>
      <c r="H113" s="1094"/>
      <c r="I113" s="1095"/>
      <c r="J113" s="990">
        <f>'[3]VLnappe - détail'!R112</f>
        <v>7.9</v>
      </c>
      <c r="K113" s="1023">
        <v>8.9</v>
      </c>
      <c r="L113" s="1023"/>
      <c r="M113" s="990" t="s">
        <v>507</v>
      </c>
      <c r="N113" s="990">
        <f t="shared" si="2"/>
        <v>15.8</v>
      </c>
      <c r="O113" s="749" t="s">
        <v>530</v>
      </c>
      <c r="P113" s="627"/>
    </row>
    <row r="114" spans="2:16" s="631" customFormat="1">
      <c r="B114" s="649">
        <v>107</v>
      </c>
      <c r="C114" s="617" t="s">
        <v>76</v>
      </c>
      <c r="D114" s="1041" t="s">
        <v>1659</v>
      </c>
      <c r="E114" s="995">
        <f>'[3]VLH - détail'!F122</f>
        <v>1234.9045456104641</v>
      </c>
      <c r="F114" s="995"/>
      <c r="G114" s="990">
        <f>'[3]VLH - détail'!I122</f>
        <v>3.284736997093133</v>
      </c>
      <c r="H114" s="990">
        <f>'[3]VLH - détail'!O122</f>
        <v>18.701619962558585</v>
      </c>
      <c r="I114" s="990">
        <f>'[3]VLH - détail'!P122</f>
        <v>18.701619962558585</v>
      </c>
      <c r="J114" s="990">
        <f>'[3]VLnappe - détail'!R113</f>
        <v>160</v>
      </c>
      <c r="K114" s="1003">
        <v>3.3140999999999998</v>
      </c>
      <c r="L114" s="1003"/>
      <c r="M114" s="990">
        <v>5166.4620130520443</v>
      </c>
      <c r="N114" s="990">
        <f t="shared" si="2"/>
        <v>320</v>
      </c>
      <c r="O114" s="734"/>
      <c r="P114" s="627"/>
    </row>
    <row r="115" spans="2:16" s="631" customFormat="1">
      <c r="B115" s="649">
        <v>108</v>
      </c>
      <c r="C115" s="617" t="s">
        <v>50</v>
      </c>
      <c r="D115" s="1041" t="s">
        <v>49</v>
      </c>
      <c r="E115" s="995">
        <f>'[3]VLH - détail'!F123</f>
        <v>0.29913199367254212</v>
      </c>
      <c r="F115" s="995"/>
      <c r="G115" s="990">
        <f>'[3]VLH - détail'!I123</f>
        <v>9.4247295437255939E-5</v>
      </c>
      <c r="H115" s="990">
        <f>'[3]VLH - détail'!O123</f>
        <v>0.29913199367254212</v>
      </c>
      <c r="I115" s="990">
        <f>'[3]VLH - détail'!P123</f>
        <v>0.54287481118127823</v>
      </c>
      <c r="J115" s="990">
        <f>'[3]VLnappe - détail'!R114</f>
        <v>5.0000000000000001E-3</v>
      </c>
      <c r="K115" s="1003">
        <v>1.1E-4</v>
      </c>
      <c r="L115" s="1003"/>
      <c r="M115" s="990">
        <v>131.12910617448605</v>
      </c>
      <c r="N115" s="990">
        <f t="shared" si="2"/>
        <v>0.01</v>
      </c>
      <c r="O115" s="734"/>
      <c r="P115" s="627"/>
    </row>
    <row r="116" spans="2:16" s="631" customFormat="1">
      <c r="B116" s="649">
        <v>109</v>
      </c>
      <c r="C116" s="617" t="s">
        <v>374</v>
      </c>
      <c r="D116" s="1041" t="s">
        <v>1523</v>
      </c>
      <c r="E116" s="1093" t="s">
        <v>506</v>
      </c>
      <c r="F116" s="1094"/>
      <c r="G116" s="1094"/>
      <c r="H116" s="1094"/>
      <c r="I116" s="1095"/>
      <c r="J116" s="990">
        <f>'[3]VLnappe - détail'!R115</f>
        <v>250</v>
      </c>
      <c r="K116" s="1028">
        <v>21.644100000000002</v>
      </c>
      <c r="L116" s="1028"/>
      <c r="M116" s="990" t="s">
        <v>507</v>
      </c>
      <c r="N116" s="990">
        <f t="shared" si="2"/>
        <v>500</v>
      </c>
      <c r="O116" s="734"/>
      <c r="P116" s="627"/>
    </row>
    <row r="117" spans="2:16" s="631" customFormat="1">
      <c r="B117" s="649">
        <v>110</v>
      </c>
      <c r="C117" s="622" t="s">
        <v>52</v>
      </c>
      <c r="D117" s="1041" t="s">
        <v>51</v>
      </c>
      <c r="E117" s="990">
        <v>1.4610000000000001</v>
      </c>
      <c r="F117" s="990">
        <v>1.2930000000000001E-3</v>
      </c>
      <c r="G117" s="990">
        <v>1.8320000000000001E-3</v>
      </c>
      <c r="H117" s="990">
        <v>4.9119999999999997E-2</v>
      </c>
      <c r="I117" s="990">
        <v>4.9119999999999997E-2</v>
      </c>
      <c r="J117" s="990">
        <f>'[3]VLnappe - détail'!R116</f>
        <v>0.1</v>
      </c>
      <c r="K117" s="1003">
        <v>3.0000000000000001E-3</v>
      </c>
      <c r="L117" s="1003"/>
      <c r="M117" s="990">
        <v>9.5229999999999997</v>
      </c>
      <c r="N117" s="990">
        <f t="shared" si="2"/>
        <v>0.2</v>
      </c>
      <c r="O117" s="734"/>
      <c r="P117" s="627"/>
    </row>
    <row r="118" spans="2:16" s="631" customFormat="1">
      <c r="B118" s="649">
        <v>111</v>
      </c>
      <c r="C118" s="617" t="s">
        <v>68</v>
      </c>
      <c r="D118" s="1041" t="s">
        <v>1614</v>
      </c>
      <c r="E118" s="995">
        <f>'[3]VLH - détail'!F126</f>
        <v>32.364235316321661</v>
      </c>
      <c r="F118" s="995"/>
      <c r="G118" s="990">
        <f>'[3]VLH - détail'!I126</f>
        <v>0.11001466814254791</v>
      </c>
      <c r="H118" s="990">
        <f>'[3]VLH - détail'!O126</f>
        <v>0.46278462903566614</v>
      </c>
      <c r="I118" s="990">
        <f>'[3]VLH - détail'!P126</f>
        <v>0.46278462903566614</v>
      </c>
      <c r="J118" s="990">
        <f>'[3]VLnappe - détail'!R117</f>
        <v>190</v>
      </c>
      <c r="K118" s="1003">
        <v>1.2755000000000001</v>
      </c>
      <c r="L118" s="1003"/>
      <c r="M118" s="990">
        <v>272.6830324866346</v>
      </c>
      <c r="N118" s="990">
        <f t="shared" si="2"/>
        <v>380</v>
      </c>
      <c r="O118" s="734"/>
      <c r="P118" s="627"/>
    </row>
    <row r="119" spans="2:16" ht="45">
      <c r="B119" s="121">
        <v>112</v>
      </c>
      <c r="C119" s="217" t="s">
        <v>375</v>
      </c>
      <c r="D119" s="1041" t="s">
        <v>1594</v>
      </c>
      <c r="E119" s="1096" t="s">
        <v>506</v>
      </c>
      <c r="F119" s="1097"/>
      <c r="G119" s="1097"/>
      <c r="H119" s="1097"/>
      <c r="I119" s="1098"/>
      <c r="J119" s="990" t="str">
        <f>'[3]VLnappe - détail'!R118</f>
        <v>NA</v>
      </c>
      <c r="K119" s="1023" t="s">
        <v>506</v>
      </c>
      <c r="L119" s="1024" t="s">
        <v>1379</v>
      </c>
      <c r="M119" s="990" t="s">
        <v>507</v>
      </c>
      <c r="N119" s="990" t="s">
        <v>506</v>
      </c>
      <c r="O119" s="223"/>
      <c r="P119" s="65"/>
    </row>
    <row r="120" spans="2:16">
      <c r="B120" s="121">
        <v>113</v>
      </c>
      <c r="C120" s="217" t="s">
        <v>81</v>
      </c>
      <c r="D120" s="1041" t="s">
        <v>1728</v>
      </c>
      <c r="E120" s="996">
        <f>'[3]VLH - détail'!F128</f>
        <v>30.415118344313026</v>
      </c>
      <c r="F120" s="996"/>
      <c r="G120" s="994">
        <f>'[3]VLH - détail'!I128</f>
        <v>9.4160707002133703E-3</v>
      </c>
      <c r="H120" s="994">
        <f>'[3]VLH - détail'!O128</f>
        <v>3.4965395959746335</v>
      </c>
      <c r="I120" s="994">
        <f>'[3]VLH - détail'!P128</f>
        <v>3.4965395959746335</v>
      </c>
      <c r="J120" s="990">
        <f>'[3]VLnappe - détail'!R119</f>
        <v>0.27</v>
      </c>
      <c r="K120" s="1003">
        <v>1.2999999999999999E-3</v>
      </c>
      <c r="L120" s="1003"/>
      <c r="M120" s="990">
        <v>2826.5418048535244</v>
      </c>
      <c r="N120" s="990">
        <f t="shared" si="2"/>
        <v>0.54</v>
      </c>
      <c r="O120" s="223"/>
      <c r="P120" s="65"/>
    </row>
    <row r="121" spans="2:16">
      <c r="B121" s="121">
        <v>114</v>
      </c>
      <c r="C121" s="217" t="s">
        <v>77</v>
      </c>
      <c r="D121" s="1041" t="s">
        <v>1681</v>
      </c>
      <c r="E121" s="996">
        <f>'[3]VLH - détail'!F129</f>
        <v>46.706049207358312</v>
      </c>
      <c r="F121" s="996"/>
      <c r="G121" s="994">
        <f>'[3]VLH - détail'!I129</f>
        <v>0.12619580415673354</v>
      </c>
      <c r="H121" s="994">
        <f>'[3]VLH - détail'!O129</f>
        <v>3.4780605286393866</v>
      </c>
      <c r="I121" s="994">
        <f>'[3]VLH - détail'!P129</f>
        <v>3.4780605286393866</v>
      </c>
      <c r="J121" s="990">
        <f>'[3]VLnappe - détail'!R120</f>
        <v>0.6</v>
      </c>
      <c r="K121" s="1003">
        <v>3.0093999999999999</v>
      </c>
      <c r="L121" s="1003"/>
      <c r="M121" s="990">
        <v>2.4157365615647426</v>
      </c>
      <c r="N121" s="990">
        <f t="shared" si="2"/>
        <v>1.2</v>
      </c>
      <c r="O121" s="223"/>
      <c r="P121" s="65"/>
    </row>
    <row r="122" spans="2:16" ht="60">
      <c r="B122" s="121">
        <v>115</v>
      </c>
      <c r="C122" s="217" t="s">
        <v>376</v>
      </c>
      <c r="D122" s="1041" t="s">
        <v>1494</v>
      </c>
      <c r="E122" s="1096" t="s">
        <v>506</v>
      </c>
      <c r="F122" s="1097"/>
      <c r="G122" s="1097"/>
      <c r="H122" s="1097"/>
      <c r="I122" s="1098"/>
      <c r="J122" s="990">
        <f>'[3]VLnappe - détail'!R121</f>
        <v>65</v>
      </c>
      <c r="K122" s="1003" t="s">
        <v>506</v>
      </c>
      <c r="L122" s="1018" t="s">
        <v>1381</v>
      </c>
      <c r="M122" s="990" t="s">
        <v>507</v>
      </c>
      <c r="N122" s="990">
        <f t="shared" si="2"/>
        <v>130</v>
      </c>
      <c r="O122" s="223"/>
      <c r="P122" s="65"/>
    </row>
    <row r="123" spans="2:16">
      <c r="B123" s="121">
        <v>116</v>
      </c>
      <c r="C123" s="217" t="s">
        <v>84</v>
      </c>
      <c r="D123" s="1041" t="s">
        <v>1776</v>
      </c>
      <c r="E123" s="996">
        <f>'[3]VLH - détail'!F131</f>
        <v>2722.1038645239983</v>
      </c>
      <c r="F123" s="996"/>
      <c r="G123" s="994">
        <f>'[3]VLH - détail'!I131</f>
        <v>1.6817111783139185</v>
      </c>
      <c r="H123" s="994">
        <f>'[3]VLH - détail'!O131</f>
        <v>2722.1038645239983</v>
      </c>
      <c r="I123" s="994">
        <f>'[3]VLH - détail'!P131</f>
        <v>5035.0194298867609</v>
      </c>
      <c r="J123" s="990">
        <f>'[3]VLnappe - détail'!R122</f>
        <v>18</v>
      </c>
      <c r="K123" s="1003">
        <v>0.222</v>
      </c>
      <c r="L123" s="1003"/>
      <c r="M123" s="990" t="s">
        <v>511</v>
      </c>
      <c r="N123" s="990">
        <f t="shared" si="2"/>
        <v>36</v>
      </c>
      <c r="O123" s="223"/>
      <c r="P123" s="65"/>
    </row>
    <row r="124" spans="2:16" ht="45" customHeight="1">
      <c r="B124" s="121">
        <v>117</v>
      </c>
      <c r="C124" s="217" t="s">
        <v>377</v>
      </c>
      <c r="D124" s="1041" t="s">
        <v>1550</v>
      </c>
      <c r="E124" s="1096" t="s">
        <v>506</v>
      </c>
      <c r="F124" s="1097"/>
      <c r="G124" s="1097"/>
      <c r="H124" s="1097"/>
      <c r="I124" s="1098"/>
      <c r="J124" s="990" t="str">
        <f>'[3]VLnappe - détail'!R123</f>
        <v>NA</v>
      </c>
      <c r="K124" s="1023" t="s">
        <v>506</v>
      </c>
      <c r="L124" s="1024" t="s">
        <v>1379</v>
      </c>
      <c r="M124" s="990" t="s">
        <v>507</v>
      </c>
      <c r="N124" s="990" t="s">
        <v>506</v>
      </c>
      <c r="O124" s="223"/>
      <c r="P124" s="65"/>
    </row>
    <row r="125" spans="2:16" ht="45">
      <c r="B125" s="121">
        <v>118</v>
      </c>
      <c r="C125" s="217" t="s">
        <v>378</v>
      </c>
      <c r="D125" s="1041" t="s">
        <v>1578</v>
      </c>
      <c r="E125" s="1096" t="s">
        <v>506</v>
      </c>
      <c r="F125" s="1097"/>
      <c r="G125" s="1097"/>
      <c r="H125" s="1097"/>
      <c r="I125" s="1098"/>
      <c r="J125" s="990">
        <f>'[3]VLnappe - détail'!R124</f>
        <v>780</v>
      </c>
      <c r="K125" s="1003" t="s">
        <v>506</v>
      </c>
      <c r="L125" s="1018" t="s">
        <v>1382</v>
      </c>
      <c r="M125" s="990" t="s">
        <v>507</v>
      </c>
      <c r="N125" s="990">
        <f t="shared" si="2"/>
        <v>1560</v>
      </c>
      <c r="O125" s="223"/>
      <c r="P125" s="65"/>
    </row>
    <row r="126" spans="2:16" ht="45">
      <c r="B126" s="121">
        <v>119</v>
      </c>
      <c r="C126" s="217" t="s">
        <v>379</v>
      </c>
      <c r="D126" s="1041" t="s">
        <v>1539</v>
      </c>
      <c r="E126" s="1096" t="s">
        <v>506</v>
      </c>
      <c r="F126" s="1097"/>
      <c r="G126" s="1097"/>
      <c r="H126" s="1097"/>
      <c r="I126" s="1098"/>
      <c r="J126" s="990" t="str">
        <f>'[3]VLnappe - détail'!R125</f>
        <v>NA</v>
      </c>
      <c r="K126" s="1023" t="s">
        <v>506</v>
      </c>
      <c r="L126" s="1024" t="s">
        <v>1379</v>
      </c>
      <c r="M126" s="990" t="s">
        <v>507</v>
      </c>
      <c r="N126" s="990" t="s">
        <v>506</v>
      </c>
      <c r="O126" s="223"/>
      <c r="P126" s="65"/>
    </row>
    <row r="127" spans="2:16" ht="45">
      <c r="B127" s="121">
        <v>120</v>
      </c>
      <c r="C127" s="217" t="s">
        <v>380</v>
      </c>
      <c r="D127" s="1041" t="s">
        <v>1538</v>
      </c>
      <c r="E127" s="1096" t="s">
        <v>506</v>
      </c>
      <c r="F127" s="1097"/>
      <c r="G127" s="1097"/>
      <c r="H127" s="1097"/>
      <c r="I127" s="1098"/>
      <c r="J127" s="990" t="str">
        <f>'[3]VLnappe - détail'!R126</f>
        <v>NA</v>
      </c>
      <c r="K127" s="1023" t="s">
        <v>506</v>
      </c>
      <c r="L127" s="1024" t="s">
        <v>1379</v>
      </c>
      <c r="M127" s="990" t="s">
        <v>507</v>
      </c>
      <c r="N127" s="990" t="s">
        <v>506</v>
      </c>
      <c r="O127" s="223"/>
      <c r="P127" s="65"/>
    </row>
    <row r="128" spans="2:16" ht="45">
      <c r="B128" s="121">
        <v>121</v>
      </c>
      <c r="C128" s="217" t="s">
        <v>381</v>
      </c>
      <c r="D128" s="1041" t="s">
        <v>1551</v>
      </c>
      <c r="E128" s="1096" t="s">
        <v>506</v>
      </c>
      <c r="F128" s="1097"/>
      <c r="G128" s="1097"/>
      <c r="H128" s="1097"/>
      <c r="I128" s="1098"/>
      <c r="J128" s="990" t="str">
        <f>'[3]VLnappe - détail'!R127</f>
        <v>NA</v>
      </c>
      <c r="K128" s="1023" t="s">
        <v>506</v>
      </c>
      <c r="L128" s="1024" t="s">
        <v>1379</v>
      </c>
      <c r="M128" s="990" t="s">
        <v>507</v>
      </c>
      <c r="N128" s="990" t="s">
        <v>506</v>
      </c>
      <c r="O128" s="223"/>
      <c r="P128" s="65"/>
    </row>
    <row r="129" spans="2:16">
      <c r="B129" s="121">
        <v>122</v>
      </c>
      <c r="C129" s="217" t="s">
        <v>136</v>
      </c>
      <c r="D129" s="1041" t="s">
        <v>1536</v>
      </c>
      <c r="E129" s="995">
        <f>'VL - détail VLH (Risc Human)'!F130</f>
        <v>6.8830366886898442E-5</v>
      </c>
      <c r="F129" s="995"/>
      <c r="G129" s="995">
        <f>'VL - détail VLH (Risc Human)'!I130</f>
        <v>2.9922693133758217E-7</v>
      </c>
      <c r="H129" s="995">
        <f>'VL - détail VLH (Risc Human)'!O130</f>
        <v>6.8378513563281435E-5</v>
      </c>
      <c r="I129" s="995">
        <f>'VL - détail VLH (Risc Human)'!P130</f>
        <v>1.2610040358315938E-4</v>
      </c>
      <c r="J129" s="990" t="str">
        <f>'[3]VLnappe - détail'!R128</f>
        <v>3.10-5</v>
      </c>
      <c r="K129" s="1003">
        <v>2.7000000000000001E-3</v>
      </c>
      <c r="L129" s="1003"/>
      <c r="M129" s="990">
        <v>6.0890233685939176E-4</v>
      </c>
      <c r="N129" s="990" t="s">
        <v>506</v>
      </c>
      <c r="O129" s="223"/>
      <c r="P129" s="65"/>
    </row>
    <row r="130" spans="2:16" s="631" customFormat="1">
      <c r="B130" s="649">
        <v>123</v>
      </c>
      <c r="C130" s="617" t="s">
        <v>382</v>
      </c>
      <c r="D130" s="1041" t="s">
        <v>383</v>
      </c>
      <c r="E130" s="1093" t="s">
        <v>506</v>
      </c>
      <c r="F130" s="1094"/>
      <c r="G130" s="1094"/>
      <c r="H130" s="1094"/>
      <c r="I130" s="1095"/>
      <c r="J130" s="990">
        <v>1</v>
      </c>
      <c r="K130" s="1003">
        <v>6.9000000000000006E-2</v>
      </c>
      <c r="L130" s="1003"/>
      <c r="M130" s="990" t="s">
        <v>507</v>
      </c>
      <c r="N130" s="990">
        <f t="shared" ref="N130:N193" si="3">J130*2</f>
        <v>2</v>
      </c>
      <c r="O130" s="734"/>
      <c r="P130" s="627"/>
    </row>
    <row r="131" spans="2:16" ht="60">
      <c r="B131" s="121">
        <v>124</v>
      </c>
      <c r="C131" s="217" t="s">
        <v>384</v>
      </c>
      <c r="D131" s="1041" t="s">
        <v>1661</v>
      </c>
      <c r="E131" s="1096" t="s">
        <v>506</v>
      </c>
      <c r="F131" s="1097"/>
      <c r="G131" s="1097"/>
      <c r="H131" s="1097"/>
      <c r="I131" s="1098"/>
      <c r="J131" s="990">
        <f>'[3]VLnappe - détail'!R130</f>
        <v>0.02</v>
      </c>
      <c r="K131" s="1023" t="s">
        <v>506</v>
      </c>
      <c r="L131" s="1024" t="s">
        <v>1383</v>
      </c>
      <c r="M131" s="990" t="s">
        <v>507</v>
      </c>
      <c r="N131" s="990">
        <f t="shared" si="3"/>
        <v>0.04</v>
      </c>
      <c r="O131" s="587" t="s">
        <v>531</v>
      </c>
      <c r="P131" s="65"/>
    </row>
    <row r="132" spans="2:16" s="631" customFormat="1">
      <c r="B132" s="649">
        <v>125</v>
      </c>
      <c r="C132" s="618" t="s">
        <v>385</v>
      </c>
      <c r="D132" s="1041" t="s">
        <v>1503</v>
      </c>
      <c r="E132" s="1093" t="s">
        <v>506</v>
      </c>
      <c r="F132" s="1094"/>
      <c r="G132" s="1094"/>
      <c r="H132" s="1094"/>
      <c r="I132" s="1095"/>
      <c r="J132" s="990" t="s">
        <v>506</v>
      </c>
      <c r="K132" s="1023" t="s">
        <v>506</v>
      </c>
      <c r="L132" s="1023"/>
      <c r="M132" s="990" t="s">
        <v>507</v>
      </c>
      <c r="N132" s="990" t="s">
        <v>506</v>
      </c>
      <c r="O132" s="734"/>
      <c r="P132" s="627"/>
    </row>
    <row r="133" spans="2:16">
      <c r="B133" s="121">
        <v>126</v>
      </c>
      <c r="C133" s="30" t="s">
        <v>386</v>
      </c>
      <c r="D133" s="1041" t="s">
        <v>1557</v>
      </c>
      <c r="E133" s="1096" t="s">
        <v>506</v>
      </c>
      <c r="F133" s="1097"/>
      <c r="G133" s="1097"/>
      <c r="H133" s="1097"/>
      <c r="I133" s="1098"/>
      <c r="J133" s="990">
        <f>'[3]VLnappe - détail'!R132</f>
        <v>1400</v>
      </c>
      <c r="K133" s="1023">
        <v>182.5608</v>
      </c>
      <c r="L133" s="1023"/>
      <c r="M133" s="990" t="s">
        <v>507</v>
      </c>
      <c r="N133" s="990">
        <f t="shared" si="3"/>
        <v>2800</v>
      </c>
      <c r="O133" s="584" t="s">
        <v>1389</v>
      </c>
      <c r="P133" s="65"/>
    </row>
    <row r="134" spans="2:16" ht="60">
      <c r="B134" s="121">
        <v>127</v>
      </c>
      <c r="C134" s="30" t="s">
        <v>387</v>
      </c>
      <c r="D134" s="1041" t="s">
        <v>1599</v>
      </c>
      <c r="E134" s="1096" t="s">
        <v>506</v>
      </c>
      <c r="F134" s="1097"/>
      <c r="G134" s="1097"/>
      <c r="H134" s="1097"/>
      <c r="I134" s="1098"/>
      <c r="J134" s="990">
        <v>2000</v>
      </c>
      <c r="K134" s="1003" t="s">
        <v>506</v>
      </c>
      <c r="L134" s="1018" t="s">
        <v>1380</v>
      </c>
      <c r="M134" s="990" t="s">
        <v>507</v>
      </c>
      <c r="N134" s="990" t="s">
        <v>505</v>
      </c>
      <c r="O134" s="223"/>
      <c r="P134" s="65"/>
    </row>
    <row r="135" spans="2:16" s="1010" customFormat="1">
      <c r="B135" s="1011">
        <v>128</v>
      </c>
      <c r="C135" s="1006" t="s">
        <v>138</v>
      </c>
      <c r="D135" s="1041" t="s">
        <v>533</v>
      </c>
      <c r="E135" s="1025">
        <v>99.45</v>
      </c>
      <c r="F135" s="1025">
        <v>0.67900000000000005</v>
      </c>
      <c r="G135" s="1025">
        <v>10.35</v>
      </c>
      <c r="H135" s="1026">
        <v>99.45</v>
      </c>
      <c r="I135" s="1026">
        <v>111.2</v>
      </c>
      <c r="J135" s="990">
        <v>1</v>
      </c>
      <c r="K135" s="1003">
        <v>58.857136346754999</v>
      </c>
      <c r="L135" s="1003"/>
      <c r="M135" s="990">
        <v>15110</v>
      </c>
      <c r="N135" s="990">
        <f t="shared" si="3"/>
        <v>2</v>
      </c>
      <c r="O135" s="1012"/>
      <c r="P135" s="1008"/>
    </row>
    <row r="136" spans="2:16" ht="45" customHeight="1">
      <c r="B136" s="121">
        <v>129</v>
      </c>
      <c r="C136" s="30" t="s">
        <v>388</v>
      </c>
      <c r="D136" s="747" t="s">
        <v>389</v>
      </c>
      <c r="E136" s="1096" t="s">
        <v>506</v>
      </c>
      <c r="F136" s="1097"/>
      <c r="G136" s="1097"/>
      <c r="H136" s="1097"/>
      <c r="I136" s="1098"/>
      <c r="J136" s="990" t="s">
        <v>506</v>
      </c>
      <c r="K136" s="990" t="s">
        <v>506</v>
      </c>
      <c r="L136" s="1024" t="s">
        <v>1379</v>
      </c>
      <c r="M136" s="990" t="s">
        <v>507</v>
      </c>
      <c r="N136" s="990" t="s">
        <v>506</v>
      </c>
      <c r="O136" s="223"/>
      <c r="P136" s="65"/>
    </row>
    <row r="137" spans="2:16">
      <c r="B137" s="121">
        <v>130</v>
      </c>
      <c r="C137" s="217" t="s">
        <v>54</v>
      </c>
      <c r="D137" s="1041" t="s">
        <v>53</v>
      </c>
      <c r="E137" s="996">
        <f>'[3]VLH - détail'!F145</f>
        <v>17.278331328519599</v>
      </c>
      <c r="F137" s="996"/>
      <c r="G137" s="994">
        <f>'[3]VLH - détail'!I145</f>
        <v>2.3276425566599295E-2</v>
      </c>
      <c r="H137" s="994">
        <f>'[3]VLH - détail'!O145</f>
        <v>0.24591027197751561</v>
      </c>
      <c r="I137" s="994">
        <f>'[3]VLH - détail'!P145</f>
        <v>0.24591027197751561</v>
      </c>
      <c r="J137" s="990">
        <f>'[3]VLnappe - détail'!R136</f>
        <v>40</v>
      </c>
      <c r="K137" s="1003">
        <v>0.5252</v>
      </c>
      <c r="L137" s="1003"/>
      <c r="M137" s="990">
        <v>66.1911081354434</v>
      </c>
      <c r="N137" s="990">
        <f t="shared" si="3"/>
        <v>80</v>
      </c>
      <c r="O137" s="223"/>
      <c r="P137" s="65"/>
    </row>
    <row r="138" spans="2:16" s="1010" customFormat="1">
      <c r="B138" s="1011">
        <v>131</v>
      </c>
      <c r="C138" s="1006" t="s">
        <v>141</v>
      </c>
      <c r="D138" s="1041" t="s">
        <v>534</v>
      </c>
      <c r="E138" s="1025">
        <v>0.71179999999999999</v>
      </c>
      <c r="F138" s="1025">
        <v>1.772E-2</v>
      </c>
      <c r="G138" s="1025">
        <v>3.5139999999999998E-2</v>
      </c>
      <c r="H138" s="1026">
        <v>0.71179999999999999</v>
      </c>
      <c r="I138" s="1026">
        <v>2.1640000000000001</v>
      </c>
      <c r="J138" s="990">
        <f>'[3]VLnappe - détail'!R137</f>
        <v>0.03</v>
      </c>
      <c r="K138" s="1003">
        <v>7.8524875845120398E-2</v>
      </c>
      <c r="L138" s="1003"/>
      <c r="M138" s="990">
        <v>49.73</v>
      </c>
      <c r="N138" s="990">
        <f t="shared" si="3"/>
        <v>0.06</v>
      </c>
      <c r="O138" s="1012"/>
      <c r="P138" s="1008"/>
    </row>
    <row r="139" spans="2:16" ht="45" customHeight="1">
      <c r="B139" s="121">
        <v>132</v>
      </c>
      <c r="C139" s="30" t="s">
        <v>390</v>
      </c>
      <c r="D139" s="1041" t="s">
        <v>1552</v>
      </c>
      <c r="E139" s="1096" t="s">
        <v>506</v>
      </c>
      <c r="F139" s="1097"/>
      <c r="G139" s="1097"/>
      <c r="H139" s="1097"/>
      <c r="I139" s="1098"/>
      <c r="J139" s="990" t="str">
        <f>'[3]VLnappe - détail'!R138</f>
        <v>NA</v>
      </c>
      <c r="K139" s="1023" t="s">
        <v>506</v>
      </c>
      <c r="L139" s="1024" t="s">
        <v>1379</v>
      </c>
      <c r="M139" s="990" t="s">
        <v>507</v>
      </c>
      <c r="N139" s="990" t="s">
        <v>506</v>
      </c>
      <c r="O139" s="223" t="s">
        <v>536</v>
      </c>
      <c r="P139" s="65"/>
    </row>
    <row r="140" spans="2:16">
      <c r="B140" s="121">
        <v>133</v>
      </c>
      <c r="C140" s="217" t="s">
        <v>139</v>
      </c>
      <c r="D140" s="1041" t="s">
        <v>1664</v>
      </c>
      <c r="E140" s="996">
        <f>'[3]VLH - détail'!F148</f>
        <v>0.9794715461012321</v>
      </c>
      <c r="F140" s="996"/>
      <c r="G140" s="994">
        <f>'[3]VLH - détail'!I148</f>
        <v>9.8940748185112441E-4</v>
      </c>
      <c r="H140" s="994">
        <f>'[3]VLH - détail'!O148</f>
        <v>0.94420293187602389</v>
      </c>
      <c r="I140" s="994">
        <f>'[3]VLH - détail'!P148</f>
        <v>1.6431147766946306</v>
      </c>
      <c r="J140" s="990">
        <f>'[3]VLnappe - détail'!R139</f>
        <v>0.03</v>
      </c>
      <c r="K140" s="1003">
        <v>7.2099999999999997E-2</v>
      </c>
      <c r="L140" s="1003"/>
      <c r="M140" s="990">
        <v>7.6533001376977214</v>
      </c>
      <c r="N140" s="990">
        <f t="shared" si="3"/>
        <v>0.06</v>
      </c>
      <c r="O140" s="223"/>
      <c r="P140" s="65"/>
    </row>
    <row r="141" spans="2:16" ht="45" customHeight="1">
      <c r="B141" s="121">
        <v>134</v>
      </c>
      <c r="C141" s="30" t="s">
        <v>391</v>
      </c>
      <c r="D141" s="1041" t="s">
        <v>1526</v>
      </c>
      <c r="E141" s="1096" t="s">
        <v>506</v>
      </c>
      <c r="F141" s="1097"/>
      <c r="G141" s="1097"/>
      <c r="H141" s="1097"/>
      <c r="I141" s="1098"/>
      <c r="J141" s="990" t="str">
        <f>'[3]VLnappe - détail'!R140</f>
        <v>NA</v>
      </c>
      <c r="K141" s="1023" t="s">
        <v>506</v>
      </c>
      <c r="L141" s="1024" t="s">
        <v>1379</v>
      </c>
      <c r="M141" s="990" t="s">
        <v>507</v>
      </c>
      <c r="N141" s="990" t="s">
        <v>506</v>
      </c>
      <c r="O141" s="223" t="s">
        <v>536</v>
      </c>
      <c r="P141" s="65"/>
    </row>
    <row r="142" spans="2:16" ht="45" customHeight="1">
      <c r="B142" s="121">
        <v>135</v>
      </c>
      <c r="C142" s="289" t="s">
        <v>392</v>
      </c>
      <c r="D142" s="1041" t="s">
        <v>1688</v>
      </c>
      <c r="E142" s="1096" t="s">
        <v>506</v>
      </c>
      <c r="F142" s="1097"/>
      <c r="G142" s="1097"/>
      <c r="H142" s="1097"/>
      <c r="I142" s="1098"/>
      <c r="J142" s="990" t="str">
        <f>'[3]VLnappe - détail'!R141</f>
        <v>NA</v>
      </c>
      <c r="K142" s="1023" t="s">
        <v>506</v>
      </c>
      <c r="L142" s="1024" t="s">
        <v>1379</v>
      </c>
      <c r="M142" s="990" t="s">
        <v>507</v>
      </c>
      <c r="N142" s="990" t="s">
        <v>506</v>
      </c>
      <c r="O142" s="223"/>
      <c r="P142" s="65"/>
    </row>
    <row r="143" spans="2:16">
      <c r="B143" s="121">
        <v>136</v>
      </c>
      <c r="C143" s="490" t="s">
        <v>140</v>
      </c>
      <c r="D143" s="1041" t="s">
        <v>1692</v>
      </c>
      <c r="E143" s="996">
        <f>'[3]VLH - détail'!F151</f>
        <v>1.5707813609549421</v>
      </c>
      <c r="F143" s="996"/>
      <c r="G143" s="994">
        <f>'[3]VLH - détail'!I151</f>
        <v>3.4932520977744193E-3</v>
      </c>
      <c r="H143" s="994">
        <f>'[3]VLH - détail'!O151</f>
        <v>0.96099986030534779</v>
      </c>
      <c r="I143" s="994">
        <f>'[3]VLH - détail'!P151</f>
        <v>1.3820483601097817</v>
      </c>
      <c r="J143" s="990">
        <v>1</v>
      </c>
      <c r="K143" s="1003">
        <v>0.17799999999999999</v>
      </c>
      <c r="L143" s="1003"/>
      <c r="M143" s="990">
        <v>67.582873162222526</v>
      </c>
      <c r="N143" s="990">
        <f t="shared" si="3"/>
        <v>2</v>
      </c>
      <c r="O143" s="223"/>
      <c r="P143" s="65"/>
    </row>
    <row r="144" spans="2:16" ht="45" customHeight="1">
      <c r="B144" s="121">
        <v>137</v>
      </c>
      <c r="C144" s="121" t="s">
        <v>393</v>
      </c>
      <c r="D144" s="1041" t="s">
        <v>1519</v>
      </c>
      <c r="E144" s="1096" t="s">
        <v>506</v>
      </c>
      <c r="F144" s="1097"/>
      <c r="G144" s="1097"/>
      <c r="H144" s="1097"/>
      <c r="I144" s="1098"/>
      <c r="J144" s="990" t="str">
        <f>'[3]VLnappe - détail'!R143</f>
        <v>NA</v>
      </c>
      <c r="K144" s="1023" t="s">
        <v>506</v>
      </c>
      <c r="L144" s="1024" t="s">
        <v>1379</v>
      </c>
      <c r="M144" s="990" t="s">
        <v>507</v>
      </c>
      <c r="N144" s="990" t="s">
        <v>506</v>
      </c>
      <c r="O144" s="223" t="s">
        <v>536</v>
      </c>
      <c r="P144" s="65"/>
    </row>
    <row r="145" spans="2:16" ht="45" customHeight="1">
      <c r="B145" s="121">
        <v>138</v>
      </c>
      <c r="C145" s="121" t="s">
        <v>394</v>
      </c>
      <c r="D145" s="1041" t="s">
        <v>1715</v>
      </c>
      <c r="E145" s="1096" t="s">
        <v>506</v>
      </c>
      <c r="F145" s="1097"/>
      <c r="G145" s="1097"/>
      <c r="H145" s="1097"/>
      <c r="I145" s="1098"/>
      <c r="J145" s="990" t="str">
        <f>'[3]VLnappe - détail'!R144</f>
        <v>NA</v>
      </c>
      <c r="K145" s="1023" t="s">
        <v>506</v>
      </c>
      <c r="L145" s="1024" t="s">
        <v>1379</v>
      </c>
      <c r="M145" s="990" t="s">
        <v>507</v>
      </c>
      <c r="N145" s="990" t="s">
        <v>506</v>
      </c>
      <c r="O145" s="223"/>
      <c r="P145" s="65"/>
    </row>
    <row r="146" spans="2:16" ht="45" customHeight="1">
      <c r="B146" s="121">
        <v>139</v>
      </c>
      <c r="C146" s="121" t="s">
        <v>395</v>
      </c>
      <c r="D146" s="1041" t="s">
        <v>1512</v>
      </c>
      <c r="E146" s="1096" t="s">
        <v>506</v>
      </c>
      <c r="F146" s="1097"/>
      <c r="G146" s="1097"/>
      <c r="H146" s="1097"/>
      <c r="I146" s="1098"/>
      <c r="J146" s="990" t="str">
        <f>'[3]VLnappe - détail'!R145</f>
        <v>NA</v>
      </c>
      <c r="K146" s="1023" t="s">
        <v>506</v>
      </c>
      <c r="L146" s="1024" t="s">
        <v>1379</v>
      </c>
      <c r="M146" s="990" t="s">
        <v>507</v>
      </c>
      <c r="N146" s="990" t="s">
        <v>506</v>
      </c>
      <c r="O146" s="223" t="s">
        <v>536</v>
      </c>
      <c r="P146" s="65"/>
    </row>
    <row r="147" spans="2:16" ht="45" customHeight="1">
      <c r="B147" s="121">
        <v>140</v>
      </c>
      <c r="C147" s="121" t="s">
        <v>396</v>
      </c>
      <c r="D147" s="1041" t="s">
        <v>1725</v>
      </c>
      <c r="E147" s="1096" t="s">
        <v>506</v>
      </c>
      <c r="F147" s="1097"/>
      <c r="G147" s="1097"/>
      <c r="H147" s="1097"/>
      <c r="I147" s="1098"/>
      <c r="J147" s="990" t="str">
        <f>'[3]VLnappe - détail'!R146</f>
        <v>NA</v>
      </c>
      <c r="K147" s="1023" t="s">
        <v>506</v>
      </c>
      <c r="L147" s="1024" t="s">
        <v>1379</v>
      </c>
      <c r="M147" s="990" t="s">
        <v>507</v>
      </c>
      <c r="N147" s="990" t="s">
        <v>506</v>
      </c>
      <c r="O147" s="223"/>
      <c r="P147" s="65"/>
    </row>
    <row r="148" spans="2:16" ht="45" customHeight="1">
      <c r="B148" s="121">
        <v>141</v>
      </c>
      <c r="C148" s="121" t="s">
        <v>397</v>
      </c>
      <c r="D148" s="1041" t="s">
        <v>1748</v>
      </c>
      <c r="E148" s="1096" t="s">
        <v>506</v>
      </c>
      <c r="F148" s="1097"/>
      <c r="G148" s="1097"/>
      <c r="H148" s="1097"/>
      <c r="I148" s="1098"/>
      <c r="J148" s="990" t="str">
        <f>'[3]VLnappe - détail'!R147</f>
        <v>NA</v>
      </c>
      <c r="K148" s="1023" t="s">
        <v>506</v>
      </c>
      <c r="L148" s="1024" t="s">
        <v>1379</v>
      </c>
      <c r="M148" s="990" t="s">
        <v>507</v>
      </c>
      <c r="N148" s="990" t="s">
        <v>506</v>
      </c>
      <c r="O148" s="223"/>
      <c r="P148" s="65"/>
    </row>
    <row r="149" spans="2:16" ht="45" customHeight="1">
      <c r="B149" s="121">
        <v>142</v>
      </c>
      <c r="C149" s="121" t="s">
        <v>398</v>
      </c>
      <c r="D149" s="1041" t="s">
        <v>1750</v>
      </c>
      <c r="E149" s="1096" t="s">
        <v>506</v>
      </c>
      <c r="F149" s="1097"/>
      <c r="G149" s="1097"/>
      <c r="H149" s="1097"/>
      <c r="I149" s="1098"/>
      <c r="J149" s="990" t="str">
        <f>'[3]VLnappe - détail'!R148</f>
        <v>NA</v>
      </c>
      <c r="K149" s="1023" t="s">
        <v>506</v>
      </c>
      <c r="L149" s="1024" t="s">
        <v>1379</v>
      </c>
      <c r="M149" s="990" t="s">
        <v>507</v>
      </c>
      <c r="N149" s="990" t="s">
        <v>506</v>
      </c>
      <c r="O149" s="223"/>
      <c r="P149" s="65"/>
    </row>
    <row r="150" spans="2:16">
      <c r="B150" s="121">
        <v>143</v>
      </c>
      <c r="C150" s="217" t="s">
        <v>209</v>
      </c>
      <c r="D150" s="1041" t="s">
        <v>1778</v>
      </c>
      <c r="E150" s="1096" t="s">
        <v>506</v>
      </c>
      <c r="F150" s="1097"/>
      <c r="G150" s="1097"/>
      <c r="H150" s="1097"/>
      <c r="I150" s="1098"/>
      <c r="J150" s="990">
        <f>'[3]VLnappe - détail'!R149</f>
        <v>2</v>
      </c>
      <c r="K150" s="1003">
        <v>3.1949999999999998</v>
      </c>
      <c r="L150" s="1003"/>
      <c r="M150" s="990" t="s">
        <v>505</v>
      </c>
      <c r="N150" s="990">
        <f t="shared" si="3"/>
        <v>4</v>
      </c>
      <c r="O150" s="223"/>
      <c r="P150" s="65"/>
    </row>
    <row r="151" spans="2:16" ht="45">
      <c r="B151" s="121">
        <v>144</v>
      </c>
      <c r="C151" s="30" t="s">
        <v>388</v>
      </c>
      <c r="D151" s="746" t="s">
        <v>399</v>
      </c>
      <c r="E151" s="1096" t="s">
        <v>506</v>
      </c>
      <c r="F151" s="1097"/>
      <c r="G151" s="1097"/>
      <c r="H151" s="1097"/>
      <c r="I151" s="1098"/>
      <c r="J151" s="990">
        <f>'[3]VLnappe - détail'!R150</f>
        <v>1500</v>
      </c>
      <c r="K151" s="1023" t="s">
        <v>506</v>
      </c>
      <c r="L151" s="1024" t="s">
        <v>1379</v>
      </c>
      <c r="M151" s="990" t="s">
        <v>507</v>
      </c>
      <c r="N151" s="990">
        <f t="shared" si="3"/>
        <v>3000</v>
      </c>
      <c r="O151" s="588" t="s">
        <v>535</v>
      </c>
      <c r="P151" s="65"/>
    </row>
    <row r="152" spans="2:16" ht="45" customHeight="1">
      <c r="B152" s="121">
        <v>145</v>
      </c>
      <c r="C152" s="217" t="s">
        <v>400</v>
      </c>
      <c r="D152" s="1041" t="s">
        <v>1779</v>
      </c>
      <c r="E152" s="1096" t="s">
        <v>506</v>
      </c>
      <c r="F152" s="1097"/>
      <c r="G152" s="1097"/>
      <c r="H152" s="1097"/>
      <c r="I152" s="1098"/>
      <c r="J152" s="990" t="str">
        <f>'[3]VLnappe - détail'!R151</f>
        <v>NA</v>
      </c>
      <c r="K152" s="1023" t="s">
        <v>506</v>
      </c>
      <c r="L152" s="1024" t="s">
        <v>1379</v>
      </c>
      <c r="M152" s="990" t="s">
        <v>507</v>
      </c>
      <c r="N152" s="990" t="s">
        <v>506</v>
      </c>
      <c r="O152" s="583" t="s">
        <v>536</v>
      </c>
      <c r="P152" s="65"/>
    </row>
    <row r="153" spans="2:16" ht="45">
      <c r="B153" s="121">
        <v>146</v>
      </c>
      <c r="C153" s="121" t="s">
        <v>401</v>
      </c>
      <c r="D153" s="1041" t="s">
        <v>1651</v>
      </c>
      <c r="E153" s="1096" t="s">
        <v>506</v>
      </c>
      <c r="F153" s="1097"/>
      <c r="G153" s="1097"/>
      <c r="H153" s="1097"/>
      <c r="I153" s="1098"/>
      <c r="J153" s="990" t="s">
        <v>506</v>
      </c>
      <c r="K153" s="1023" t="s">
        <v>506</v>
      </c>
      <c r="L153" s="1024" t="s">
        <v>1379</v>
      </c>
      <c r="M153" s="990" t="s">
        <v>507</v>
      </c>
      <c r="N153" s="990" t="s">
        <v>506</v>
      </c>
      <c r="O153" s="584" t="s">
        <v>529</v>
      </c>
      <c r="P153" s="65"/>
    </row>
    <row r="154" spans="2:16" ht="45">
      <c r="B154" s="121">
        <v>147</v>
      </c>
      <c r="C154" s="121" t="s">
        <v>402</v>
      </c>
      <c r="D154" s="1041" t="s">
        <v>1644</v>
      </c>
      <c r="E154" s="1096" t="s">
        <v>506</v>
      </c>
      <c r="F154" s="1097"/>
      <c r="G154" s="1097"/>
      <c r="H154" s="1097"/>
      <c r="I154" s="1098"/>
      <c r="J154" s="990" t="s">
        <v>506</v>
      </c>
      <c r="K154" s="1023" t="s">
        <v>506</v>
      </c>
      <c r="L154" s="1024" t="s">
        <v>1379</v>
      </c>
      <c r="M154" s="990" t="s">
        <v>507</v>
      </c>
      <c r="N154" s="990" t="s">
        <v>506</v>
      </c>
      <c r="O154" s="584" t="s">
        <v>529</v>
      </c>
      <c r="P154" s="65"/>
    </row>
    <row r="155" spans="2:16" ht="90" customHeight="1">
      <c r="B155" s="121">
        <v>148</v>
      </c>
      <c r="C155" s="121" t="s">
        <v>403</v>
      </c>
      <c r="D155" s="1041" t="s">
        <v>1596</v>
      </c>
      <c r="E155" s="1096" t="s">
        <v>506</v>
      </c>
      <c r="F155" s="1097"/>
      <c r="G155" s="1097"/>
      <c r="H155" s="1097"/>
      <c r="I155" s="1098"/>
      <c r="J155" s="990" t="str">
        <f>'[3]VLnappe - détail'!R154</f>
        <v>NA</v>
      </c>
      <c r="K155" s="1023" t="s">
        <v>506</v>
      </c>
      <c r="L155" s="1024" t="s">
        <v>1379</v>
      </c>
      <c r="M155" s="990" t="s">
        <v>505</v>
      </c>
      <c r="N155" s="990" t="s">
        <v>506</v>
      </c>
      <c r="O155" s="583" t="s">
        <v>537</v>
      </c>
      <c r="P155" s="65"/>
    </row>
    <row r="156" spans="2:16" ht="45">
      <c r="B156" s="121">
        <v>149</v>
      </c>
      <c r="C156" s="121" t="s">
        <v>404</v>
      </c>
      <c r="D156" s="1041" t="s">
        <v>1609</v>
      </c>
      <c r="E156" s="1096" t="s">
        <v>506</v>
      </c>
      <c r="F156" s="1097"/>
      <c r="G156" s="1097"/>
      <c r="H156" s="1097"/>
      <c r="I156" s="1098"/>
      <c r="J156" s="990" t="str">
        <f>'[3]VLnappe - détail'!R155</f>
        <v>NA</v>
      </c>
      <c r="K156" s="1023" t="s">
        <v>506</v>
      </c>
      <c r="L156" s="1024" t="s">
        <v>1379</v>
      </c>
      <c r="M156" s="990" t="s">
        <v>505</v>
      </c>
      <c r="N156" s="990" t="s">
        <v>506</v>
      </c>
      <c r="O156" s="583" t="s">
        <v>538</v>
      </c>
      <c r="P156" s="65"/>
    </row>
    <row r="157" spans="2:16" ht="58.5" customHeight="1">
      <c r="B157" s="121">
        <v>150</v>
      </c>
      <c r="C157" s="121" t="s">
        <v>405</v>
      </c>
      <c r="D157" s="1041" t="s">
        <v>1694</v>
      </c>
      <c r="E157" s="1096" t="s">
        <v>506</v>
      </c>
      <c r="F157" s="1097"/>
      <c r="G157" s="1097"/>
      <c r="H157" s="1097"/>
      <c r="I157" s="1098"/>
      <c r="J157" s="990">
        <f>'[3]VLnappe - détail'!R156</f>
        <v>40</v>
      </c>
      <c r="K157" s="1003">
        <v>270</v>
      </c>
      <c r="L157" s="1003"/>
      <c r="M157" s="990" t="s">
        <v>505</v>
      </c>
      <c r="N157" s="990">
        <f t="shared" si="3"/>
        <v>80</v>
      </c>
      <c r="O157" s="313" t="s">
        <v>539</v>
      </c>
      <c r="P157" s="65"/>
    </row>
    <row r="158" spans="2:16" s="631" customFormat="1">
      <c r="B158" s="649">
        <v>151</v>
      </c>
      <c r="C158" s="624" t="s">
        <v>173</v>
      </c>
      <c r="D158" s="1041" t="s">
        <v>172</v>
      </c>
      <c r="E158" s="995">
        <f>'[3]VLH - détail'!F166</f>
        <v>160.40969201659274</v>
      </c>
      <c r="F158" s="995"/>
      <c r="G158" s="990">
        <f>'[3]VLH - détail'!I166</f>
        <v>4.0566109328773393E-2</v>
      </c>
      <c r="H158" s="990">
        <f>'[3]VLH - détail'!O166</f>
        <v>160.40969201659274</v>
      </c>
      <c r="I158" s="990">
        <f>'[3]VLH - détail'!P166</f>
        <v>296.70650211832697</v>
      </c>
      <c r="J158" s="990">
        <v>1</v>
      </c>
      <c r="K158" s="1003">
        <v>4.2000000000000003E-2</v>
      </c>
      <c r="L158" s="1003"/>
      <c r="M158" s="990" t="s">
        <v>511</v>
      </c>
      <c r="N158" s="990">
        <f t="shared" si="3"/>
        <v>2</v>
      </c>
      <c r="O158" s="734"/>
      <c r="P158" s="627"/>
    </row>
    <row r="159" spans="2:16" s="631" customFormat="1">
      <c r="B159" s="649">
        <v>152</v>
      </c>
      <c r="C159" s="649" t="s">
        <v>149</v>
      </c>
      <c r="D159" s="1041" t="s">
        <v>1584</v>
      </c>
      <c r="E159" s="995">
        <f>'[3]VLH - détail'!F167</f>
        <v>4.1090305061615764</v>
      </c>
      <c r="F159" s="995"/>
      <c r="G159" s="990">
        <f>'[3]VLH - détail'!I167</f>
        <v>1.5190036499368875E-2</v>
      </c>
      <c r="H159" s="990">
        <f>'[3]VLH - détail'!O167</f>
        <v>3.5385245830025518</v>
      </c>
      <c r="I159" s="990">
        <f>'[3]VLH - détail'!P167</f>
        <v>6.6365259829843328</v>
      </c>
      <c r="J159" s="990">
        <v>1</v>
      </c>
      <c r="K159" s="1003">
        <v>3.5000000000000003E-2</v>
      </c>
      <c r="L159" s="1003"/>
      <c r="M159" s="990" t="s">
        <v>511</v>
      </c>
      <c r="N159" s="990">
        <f t="shared" si="3"/>
        <v>2</v>
      </c>
      <c r="O159" s="734"/>
      <c r="P159" s="627"/>
    </row>
    <row r="160" spans="2:16" s="631" customFormat="1">
      <c r="B160" s="649">
        <v>153</v>
      </c>
      <c r="C160" s="649" t="s">
        <v>177</v>
      </c>
      <c r="D160" s="1041" t="s">
        <v>1588</v>
      </c>
      <c r="E160" s="995">
        <f>'[3]VLH - détail'!F168</f>
        <v>7005.9073811037451</v>
      </c>
      <c r="F160" s="995"/>
      <c r="G160" s="990">
        <f>'[3]VLH - détail'!I168</f>
        <v>2.4266237141888647</v>
      </c>
      <c r="H160" s="990">
        <f>'[3]VLH - détail'!O168</f>
        <v>7005.9073811037451</v>
      </c>
      <c r="I160" s="990">
        <f>'[3]VLH - détail'!P168</f>
        <v>32044.30222877931</v>
      </c>
      <c r="J160" s="990">
        <v>1</v>
      </c>
      <c r="K160" s="1003">
        <v>5.8000000000000003E-2</v>
      </c>
      <c r="L160" s="1003"/>
      <c r="M160" s="990" t="s">
        <v>511</v>
      </c>
      <c r="N160" s="990">
        <f t="shared" si="3"/>
        <v>2</v>
      </c>
      <c r="O160" s="734"/>
      <c r="P160" s="627"/>
    </row>
    <row r="161" spans="2:16" s="631" customFormat="1">
      <c r="B161" s="649">
        <v>154</v>
      </c>
      <c r="C161" s="649" t="s">
        <v>150</v>
      </c>
      <c r="D161" s="1041" t="s">
        <v>1598</v>
      </c>
      <c r="E161" s="1093" t="s">
        <v>506</v>
      </c>
      <c r="F161" s="1094"/>
      <c r="G161" s="1094"/>
      <c r="H161" s="1094"/>
      <c r="I161" s="1095"/>
      <c r="J161" s="990">
        <v>1</v>
      </c>
      <c r="K161" s="1003">
        <v>1.9E-2</v>
      </c>
      <c r="L161" s="1003"/>
      <c r="M161" s="990" t="s">
        <v>511</v>
      </c>
      <c r="N161" s="990">
        <f t="shared" si="3"/>
        <v>2</v>
      </c>
      <c r="O161" s="734"/>
      <c r="P161" s="627"/>
    </row>
    <row r="162" spans="2:16" s="631" customFormat="1">
      <c r="B162" s="649">
        <v>155</v>
      </c>
      <c r="C162" s="649" t="s">
        <v>406</v>
      </c>
      <c r="D162" s="1041" t="s">
        <v>1607</v>
      </c>
      <c r="E162" s="995">
        <f>'[3]VLH - détail'!F170</f>
        <v>4670.6049207358301</v>
      </c>
      <c r="F162" s="995"/>
      <c r="G162" s="990">
        <f>'[3]VLH - détail'!I170</f>
        <v>12.164790134978812</v>
      </c>
      <c r="H162" s="990">
        <f>'[3]VLH - détail'!O170</f>
        <v>4670.6049207358301</v>
      </c>
      <c r="I162" s="990">
        <f>'[3]VLH - détail'!P170</f>
        <v>21362.868152519542</v>
      </c>
      <c r="J162" s="990">
        <v>1</v>
      </c>
      <c r="K162" s="1003">
        <v>6.8000000000000005E-2</v>
      </c>
      <c r="L162" s="1003"/>
      <c r="M162" s="990" t="s">
        <v>511</v>
      </c>
      <c r="N162" s="990">
        <f t="shared" si="3"/>
        <v>2</v>
      </c>
      <c r="O162" s="734"/>
      <c r="P162" s="627"/>
    </row>
    <row r="163" spans="2:16" s="631" customFormat="1" ht="45">
      <c r="B163" s="649">
        <v>156</v>
      </c>
      <c r="C163" s="649" t="s">
        <v>151</v>
      </c>
      <c r="D163" s="1041" t="s">
        <v>1608</v>
      </c>
      <c r="E163" s="1093" t="s">
        <v>506</v>
      </c>
      <c r="F163" s="1094"/>
      <c r="G163" s="1094"/>
      <c r="H163" s="1094"/>
      <c r="I163" s="1095"/>
      <c r="J163" s="990">
        <v>1</v>
      </c>
      <c r="K163" s="1003" t="s">
        <v>506</v>
      </c>
      <c r="L163" s="1024" t="s">
        <v>1422</v>
      </c>
      <c r="M163" s="990" t="s">
        <v>511</v>
      </c>
      <c r="N163" s="990">
        <f t="shared" si="3"/>
        <v>2</v>
      </c>
      <c r="O163" s="734"/>
      <c r="P163" s="627"/>
    </row>
    <row r="164" spans="2:16" s="631" customFormat="1">
      <c r="B164" s="649">
        <v>157</v>
      </c>
      <c r="C164" s="649" t="s">
        <v>152</v>
      </c>
      <c r="D164" s="1041" t="s">
        <v>1610</v>
      </c>
      <c r="E164" s="995">
        <f>'[3]VLH - détail'!F172</f>
        <v>23353.024603679154</v>
      </c>
      <c r="F164" s="995"/>
      <c r="G164" s="990">
        <f>'[3]VLH - détail'!I172</f>
        <v>8.068464855554252</v>
      </c>
      <c r="H164" s="990">
        <f>'[3]VLH - détail'!O172</f>
        <v>23353.024603679154</v>
      </c>
      <c r="I164" s="990">
        <f>'[3]VLH - détail'!P172</f>
        <v>106814.3407625977</v>
      </c>
      <c r="J164" s="990">
        <v>1</v>
      </c>
      <c r="K164" s="1003">
        <v>4.2999999999999997E-2</v>
      </c>
      <c r="L164" s="1003"/>
      <c r="M164" s="990" t="s">
        <v>511</v>
      </c>
      <c r="N164" s="990">
        <f t="shared" si="3"/>
        <v>2</v>
      </c>
      <c r="O164" s="734"/>
      <c r="P164" s="627"/>
    </row>
    <row r="165" spans="2:16" s="631" customFormat="1">
      <c r="B165" s="649">
        <v>158</v>
      </c>
      <c r="C165" s="649" t="s">
        <v>407</v>
      </c>
      <c r="D165" s="1041" t="s">
        <v>1615</v>
      </c>
      <c r="E165" s="995">
        <f>'[3]VLH - détail'!F173</f>
        <v>11676.512301839577</v>
      </c>
      <c r="F165" s="995"/>
      <c r="G165" s="990">
        <f>'[3]VLH - détail'!I173</f>
        <v>5.652143902650403</v>
      </c>
      <c r="H165" s="990">
        <f>'[3]VLH - détail'!O173</f>
        <v>11676.512301839577</v>
      </c>
      <c r="I165" s="990">
        <f>'[3]VLH - détail'!P173</f>
        <v>53407.170381298849</v>
      </c>
      <c r="J165" s="990">
        <v>1</v>
      </c>
      <c r="K165" s="1003">
        <v>9.4E-2</v>
      </c>
      <c r="L165" s="1003"/>
      <c r="M165" s="990" t="s">
        <v>511</v>
      </c>
      <c r="N165" s="990">
        <f t="shared" si="3"/>
        <v>2</v>
      </c>
      <c r="O165" s="734"/>
      <c r="P165" s="627"/>
    </row>
    <row r="166" spans="2:16" s="631" customFormat="1">
      <c r="B166" s="649">
        <v>159</v>
      </c>
      <c r="C166" s="649" t="s">
        <v>171</v>
      </c>
      <c r="D166" s="1041" t="s">
        <v>1616</v>
      </c>
      <c r="E166" s="995">
        <f>'[3]VLH - détail'!F174</f>
        <v>2638.8917802157439</v>
      </c>
      <c r="F166" s="995"/>
      <c r="G166" s="990">
        <f>'[3]VLH - détail'!I174</f>
        <v>2.3416193199819029</v>
      </c>
      <c r="H166" s="990">
        <f>'[3]VLH - détail'!O174</f>
        <v>2638.8917802157439</v>
      </c>
      <c r="I166" s="990">
        <f>'[3]VLH - détail'!P174</f>
        <v>12070.02050617354</v>
      </c>
      <c r="J166" s="990">
        <v>1</v>
      </c>
      <c r="K166" s="1003">
        <v>4.8000000000000001E-2</v>
      </c>
      <c r="L166" s="1003"/>
      <c r="M166" s="990" t="s">
        <v>511</v>
      </c>
      <c r="N166" s="990">
        <f t="shared" si="3"/>
        <v>2</v>
      </c>
      <c r="O166" s="734"/>
      <c r="P166" s="627"/>
    </row>
    <row r="167" spans="2:16" s="631" customFormat="1">
      <c r="B167" s="649">
        <v>160</v>
      </c>
      <c r="C167" s="649" t="s">
        <v>153</v>
      </c>
      <c r="D167" s="1041" t="s">
        <v>1625</v>
      </c>
      <c r="E167" s="995">
        <f>'[3]VLH - détail'!F175</f>
        <v>46.238988715284719</v>
      </c>
      <c r="F167" s="995"/>
      <c r="G167" s="990">
        <f>'[3]VLH - détail'!I175</f>
        <v>1.5651987792184675E-2</v>
      </c>
      <c r="H167" s="990">
        <f>'[3]VLH - détail'!O175</f>
        <v>46.238988715284719</v>
      </c>
      <c r="I167" s="990">
        <f>'[3]VLH - détail'!P175</f>
        <v>211.49239470994343</v>
      </c>
      <c r="J167" s="990">
        <v>1</v>
      </c>
      <c r="K167" s="1003">
        <v>0.04</v>
      </c>
      <c r="L167" s="1003"/>
      <c r="M167" s="990" t="s">
        <v>511</v>
      </c>
      <c r="N167" s="990">
        <f t="shared" si="3"/>
        <v>2</v>
      </c>
      <c r="O167" s="734"/>
      <c r="P167" s="627"/>
    </row>
    <row r="168" spans="2:16" s="631" customFormat="1">
      <c r="B168" s="649">
        <v>161</v>
      </c>
      <c r="C168" s="649" t="s">
        <v>408</v>
      </c>
      <c r="D168" s="1041" t="s">
        <v>1630</v>
      </c>
      <c r="E168" s="1093" t="s">
        <v>506</v>
      </c>
      <c r="F168" s="1094"/>
      <c r="G168" s="1094"/>
      <c r="H168" s="1094"/>
      <c r="I168" s="1095"/>
      <c r="J168" s="990">
        <v>1</v>
      </c>
      <c r="K168" s="1003">
        <v>7.0000000000000001E-3</v>
      </c>
      <c r="L168" s="1003"/>
      <c r="M168" s="990" t="s">
        <v>507</v>
      </c>
      <c r="N168" s="990">
        <f t="shared" si="3"/>
        <v>2</v>
      </c>
      <c r="O168" s="734"/>
      <c r="P168" s="627"/>
    </row>
    <row r="169" spans="2:16" s="631" customFormat="1" ht="45">
      <c r="B169" s="649">
        <v>162</v>
      </c>
      <c r="C169" s="649" t="s">
        <v>409</v>
      </c>
      <c r="D169" s="1041" t="s">
        <v>1631</v>
      </c>
      <c r="E169" s="1093" t="s">
        <v>506</v>
      </c>
      <c r="F169" s="1094"/>
      <c r="G169" s="1094"/>
      <c r="H169" s="1094"/>
      <c r="I169" s="1095"/>
      <c r="J169" s="990">
        <v>1</v>
      </c>
      <c r="K169" s="1003" t="s">
        <v>506</v>
      </c>
      <c r="L169" s="1024" t="s">
        <v>1422</v>
      </c>
      <c r="M169" s="990" t="s">
        <v>507</v>
      </c>
      <c r="N169" s="990">
        <f t="shared" si="3"/>
        <v>2</v>
      </c>
      <c r="O169" s="734"/>
      <c r="P169" s="627"/>
    </row>
    <row r="170" spans="2:16" s="631" customFormat="1" ht="45">
      <c r="B170" s="649">
        <v>163</v>
      </c>
      <c r="C170" s="649" t="s">
        <v>410</v>
      </c>
      <c r="D170" s="1041" t="s">
        <v>1629</v>
      </c>
      <c r="E170" s="1093" t="s">
        <v>506</v>
      </c>
      <c r="F170" s="1094"/>
      <c r="G170" s="1094"/>
      <c r="H170" s="1094"/>
      <c r="I170" s="1095"/>
      <c r="J170" s="990">
        <v>1</v>
      </c>
      <c r="K170" s="1003" t="s">
        <v>506</v>
      </c>
      <c r="L170" s="1024" t="s">
        <v>1422</v>
      </c>
      <c r="M170" s="990" t="s">
        <v>507</v>
      </c>
      <c r="N170" s="990">
        <f t="shared" si="3"/>
        <v>2</v>
      </c>
      <c r="O170" s="734"/>
      <c r="P170" s="627"/>
    </row>
    <row r="171" spans="2:16" s="631" customFormat="1">
      <c r="B171" s="649">
        <v>164</v>
      </c>
      <c r="C171" s="649" t="s">
        <v>178</v>
      </c>
      <c r="D171" s="1041" t="s">
        <v>1637</v>
      </c>
      <c r="E171" s="995">
        <f>'[3]VLH - détail'!F179</f>
        <v>7005.9073811037451</v>
      </c>
      <c r="F171" s="995"/>
      <c r="G171" s="990">
        <f>'[3]VLH - détail'!I179</f>
        <v>2.3713721413326669</v>
      </c>
      <c r="H171" s="990">
        <f>'[3]VLH - détail'!O179</f>
        <v>7005.9073811037451</v>
      </c>
      <c r="I171" s="990">
        <f>'[3]VLH - détail'!P179</f>
        <v>32044.30222877931</v>
      </c>
      <c r="J171" s="990">
        <v>1</v>
      </c>
      <c r="K171" s="1003">
        <v>5.0000000000000001E-3</v>
      </c>
      <c r="L171" s="1003"/>
      <c r="M171" s="990" t="s">
        <v>511</v>
      </c>
      <c r="N171" s="990">
        <f t="shared" si="3"/>
        <v>2</v>
      </c>
      <c r="O171" s="734"/>
      <c r="P171" s="627"/>
    </row>
    <row r="172" spans="2:16" s="631" customFormat="1" ht="45">
      <c r="B172" s="649">
        <v>165</v>
      </c>
      <c r="C172" s="649" t="s">
        <v>154</v>
      </c>
      <c r="D172" s="1041" t="s">
        <v>1161</v>
      </c>
      <c r="E172" s="1093" t="s">
        <v>506</v>
      </c>
      <c r="F172" s="1094"/>
      <c r="G172" s="1094"/>
      <c r="H172" s="1094"/>
      <c r="I172" s="1095"/>
      <c r="J172" s="990">
        <v>1</v>
      </c>
      <c r="K172" s="1003" t="s">
        <v>506</v>
      </c>
      <c r="L172" s="1024" t="s">
        <v>1422</v>
      </c>
      <c r="M172" s="990" t="s">
        <v>511</v>
      </c>
      <c r="N172" s="990">
        <f t="shared" si="3"/>
        <v>2</v>
      </c>
      <c r="O172" s="734"/>
      <c r="P172" s="627"/>
    </row>
    <row r="173" spans="2:16" s="631" customFormat="1">
      <c r="B173" s="649">
        <v>166</v>
      </c>
      <c r="C173" s="649" t="s">
        <v>155</v>
      </c>
      <c r="D173" s="1041" t="s">
        <v>1660</v>
      </c>
      <c r="E173" s="995">
        <f>'[3]VLH - détail'!F181</f>
        <v>467.06049207358308</v>
      </c>
      <c r="F173" s="995"/>
      <c r="G173" s="990">
        <f>'[3]VLH - détail'!I181</f>
        <v>0.45643919050443116</v>
      </c>
      <c r="H173" s="990">
        <f>'[3]VLH - détail'!O181</f>
        <v>467.06049207358308</v>
      </c>
      <c r="I173" s="990">
        <f>'[3]VLH - détail'!P181</f>
        <v>2136.2868152519541</v>
      </c>
      <c r="J173" s="990">
        <v>1</v>
      </c>
      <c r="K173" s="1003">
        <v>8.2000000000000003E-2</v>
      </c>
      <c r="L173" s="1003"/>
      <c r="M173" s="990" t="s">
        <v>511</v>
      </c>
      <c r="N173" s="990">
        <f t="shared" si="3"/>
        <v>2</v>
      </c>
      <c r="O173" s="734"/>
      <c r="P173" s="627"/>
    </row>
    <row r="174" spans="2:16" s="631" customFormat="1">
      <c r="B174" s="649">
        <v>167</v>
      </c>
      <c r="C174" s="649" t="s">
        <v>156</v>
      </c>
      <c r="D174" s="1041" t="s">
        <v>1670</v>
      </c>
      <c r="E174" s="995">
        <f>'[3]VLH - détail'!F182</f>
        <v>16347.117222575407</v>
      </c>
      <c r="F174" s="995"/>
      <c r="G174" s="990">
        <f>'[3]VLH - détail'!I182</f>
        <v>9.1651599670876003</v>
      </c>
      <c r="H174" s="990">
        <f>'[3]VLH - détail'!O182</f>
        <v>16347.117222575407</v>
      </c>
      <c r="I174" s="990">
        <f>'[3]VLH - détail'!P182</f>
        <v>74770.038533818399</v>
      </c>
      <c r="J174" s="990">
        <v>1</v>
      </c>
      <c r="K174" s="1003">
        <v>4.7E-2</v>
      </c>
      <c r="L174" s="1003"/>
      <c r="M174" s="990" t="s">
        <v>511</v>
      </c>
      <c r="N174" s="990">
        <f t="shared" si="3"/>
        <v>2</v>
      </c>
      <c r="O174" s="734"/>
      <c r="P174" s="627"/>
    </row>
    <row r="175" spans="2:16" s="631" customFormat="1">
      <c r="B175" s="649">
        <v>168</v>
      </c>
      <c r="C175" s="649" t="s">
        <v>179</v>
      </c>
      <c r="D175" s="1041" t="s">
        <v>1674</v>
      </c>
      <c r="E175" s="1093" t="s">
        <v>506</v>
      </c>
      <c r="F175" s="1094"/>
      <c r="G175" s="1094"/>
      <c r="H175" s="1094"/>
      <c r="I175" s="1095"/>
      <c r="J175" s="990">
        <v>1</v>
      </c>
      <c r="K175" s="1003">
        <v>1.7999999999999999E-2</v>
      </c>
      <c r="L175" s="1003"/>
      <c r="M175" s="990" t="s">
        <v>507</v>
      </c>
      <c r="N175" s="990">
        <f t="shared" si="3"/>
        <v>2</v>
      </c>
      <c r="O175" s="734"/>
      <c r="P175" s="627"/>
    </row>
    <row r="176" spans="2:16" s="631" customFormat="1" ht="30">
      <c r="B176" s="649">
        <v>169</v>
      </c>
      <c r="C176" s="649" t="s">
        <v>157</v>
      </c>
      <c r="D176" s="1041" t="s">
        <v>1684</v>
      </c>
      <c r="E176" s="995">
        <f>'[3]VLH - détail'!F184</f>
        <v>7706.4981192141213</v>
      </c>
      <c r="F176" s="995"/>
      <c r="G176" s="990">
        <f>'[3]VLH - détail'!I184</f>
        <v>2.0398057066306956</v>
      </c>
      <c r="H176" s="990">
        <f>'[3]VLH - détail'!O184</f>
        <v>7706.4981192141213</v>
      </c>
      <c r="I176" s="990">
        <f>'[3]VLH - détail'!P184</f>
        <v>35248.732451657241</v>
      </c>
      <c r="J176" s="990">
        <v>1</v>
      </c>
      <c r="K176" s="1003">
        <v>5.8999999999999999E-3</v>
      </c>
      <c r="L176" s="1003"/>
      <c r="M176" s="990" t="s">
        <v>511</v>
      </c>
      <c r="N176" s="990">
        <f t="shared" si="3"/>
        <v>2</v>
      </c>
      <c r="O176" s="734"/>
      <c r="P176" s="627"/>
    </row>
    <row r="177" spans="2:16" s="631" customFormat="1">
      <c r="B177" s="649">
        <v>170</v>
      </c>
      <c r="C177" s="649" t="s">
        <v>158</v>
      </c>
      <c r="D177" s="1041" t="s">
        <v>1690</v>
      </c>
      <c r="E177" s="995">
        <f>'[3]VLH - détail'!F185</f>
        <v>700.59073811037456</v>
      </c>
      <c r="F177" s="995"/>
      <c r="G177" s="990">
        <f>'[3]VLH - détail'!I185</f>
        <v>0.31110547240009945</v>
      </c>
      <c r="H177" s="990">
        <f>'[3]VLH - détail'!O185</f>
        <v>700.59073811037456</v>
      </c>
      <c r="I177" s="990">
        <f>'[3]VLH - détail'!P185</f>
        <v>3204.4302228779306</v>
      </c>
      <c r="J177" s="990">
        <v>1</v>
      </c>
      <c r="K177" s="1003">
        <v>0.03</v>
      </c>
      <c r="L177" s="1003"/>
      <c r="M177" s="990" t="s">
        <v>511</v>
      </c>
      <c r="N177" s="990">
        <f t="shared" si="3"/>
        <v>2</v>
      </c>
      <c r="O177" s="734"/>
      <c r="P177" s="627"/>
    </row>
    <row r="178" spans="2:16" s="631" customFormat="1">
      <c r="B178" s="649">
        <v>171</v>
      </c>
      <c r="C178" s="649" t="s">
        <v>159</v>
      </c>
      <c r="D178" s="1041" t="s">
        <v>1693</v>
      </c>
      <c r="E178" s="995">
        <f>'[3]VLH - détail'!F186</f>
        <v>467.06049207358308</v>
      </c>
      <c r="F178" s="995"/>
      <c r="G178" s="990">
        <f>'[3]VLH - détail'!I186</f>
        <v>0.46470976482626952</v>
      </c>
      <c r="H178" s="990">
        <f>'[3]VLH - détail'!O186</f>
        <v>467.06049207358308</v>
      </c>
      <c r="I178" s="990">
        <f>'[3]VLH - détail'!P186</f>
        <v>2136.2868152519541</v>
      </c>
      <c r="J178" s="990">
        <v>1</v>
      </c>
      <c r="K178" s="1003">
        <v>9.8000000000000004E-2</v>
      </c>
      <c r="L178" s="1003"/>
      <c r="M178" s="990" t="s">
        <v>511</v>
      </c>
      <c r="N178" s="990">
        <f t="shared" si="3"/>
        <v>2</v>
      </c>
      <c r="O178" s="734"/>
      <c r="P178" s="627"/>
    </row>
    <row r="179" spans="2:16" s="631" customFormat="1">
      <c r="B179" s="649">
        <v>172</v>
      </c>
      <c r="C179" s="649" t="s">
        <v>160</v>
      </c>
      <c r="D179" s="1041" t="s">
        <v>1701</v>
      </c>
      <c r="E179" s="995">
        <f>'[3]VLH - détail'!F187</f>
        <v>7005.9073811037451</v>
      </c>
      <c r="F179" s="995"/>
      <c r="G179" s="990">
        <f>'[3]VLH - détail'!I187</f>
        <v>1.9315351825712983</v>
      </c>
      <c r="H179" s="990">
        <f>'[3]VLH - détail'!O187</f>
        <v>7005.9073811037451</v>
      </c>
      <c r="I179" s="990">
        <f>'[3]VLH - détail'!P187</f>
        <v>32044.30222877931</v>
      </c>
      <c r="J179" s="990">
        <v>1</v>
      </c>
      <c r="K179" s="1003">
        <v>5.1000000000000004E-3</v>
      </c>
      <c r="L179" s="1003"/>
      <c r="M179" s="990" t="s">
        <v>511</v>
      </c>
      <c r="N179" s="990">
        <f t="shared" si="3"/>
        <v>2</v>
      </c>
      <c r="O179" s="734"/>
      <c r="P179" s="627"/>
    </row>
    <row r="180" spans="2:16" s="631" customFormat="1" ht="30">
      <c r="B180" s="649">
        <v>173</v>
      </c>
      <c r="C180" s="649" t="s">
        <v>161</v>
      </c>
      <c r="D180" s="1041" t="s">
        <v>1703</v>
      </c>
      <c r="E180" s="995">
        <f>'[3]VLH - détail'!F188</f>
        <v>18682.41968294332</v>
      </c>
      <c r="F180" s="995"/>
      <c r="G180" s="990">
        <f>'[3]VLH - détail'!I188</f>
        <v>6.8503761939898338</v>
      </c>
      <c r="H180" s="990">
        <f>'[3]VLH - détail'!O188</f>
        <v>18682.41968294332</v>
      </c>
      <c r="I180" s="990">
        <f>'[3]VLH - détail'!P188</f>
        <v>85451.47261007817</v>
      </c>
      <c r="J180" s="990">
        <v>1</v>
      </c>
      <c r="K180" s="1003">
        <v>1.6E-2</v>
      </c>
      <c r="L180" s="1003"/>
      <c r="M180" s="990" t="s">
        <v>511</v>
      </c>
      <c r="N180" s="990">
        <f t="shared" si="3"/>
        <v>2</v>
      </c>
      <c r="O180" s="734"/>
      <c r="P180" s="627"/>
    </row>
    <row r="181" spans="2:16" s="631" customFormat="1">
      <c r="B181" s="649">
        <v>174</v>
      </c>
      <c r="C181" s="649" t="s">
        <v>162</v>
      </c>
      <c r="D181" s="1041" t="s">
        <v>1704</v>
      </c>
      <c r="E181" s="1093" t="s">
        <v>506</v>
      </c>
      <c r="F181" s="1094"/>
      <c r="G181" s="1094"/>
      <c r="H181" s="1094"/>
      <c r="I181" s="1095"/>
      <c r="J181" s="990">
        <v>1</v>
      </c>
      <c r="K181" s="1003">
        <v>0.114</v>
      </c>
      <c r="L181" s="1003"/>
      <c r="M181" s="990" t="s">
        <v>511</v>
      </c>
      <c r="N181" s="990">
        <f t="shared" si="3"/>
        <v>2</v>
      </c>
      <c r="O181" s="734"/>
      <c r="P181" s="627"/>
    </row>
    <row r="182" spans="2:16" s="631" customFormat="1">
      <c r="B182" s="649">
        <v>175</v>
      </c>
      <c r="C182" s="649" t="s">
        <v>163</v>
      </c>
      <c r="D182" s="1041" t="s">
        <v>1707</v>
      </c>
      <c r="E182" s="995">
        <f>'[3]VLH - détail'!F190</f>
        <v>1868.2419682943323</v>
      </c>
      <c r="F182" s="995"/>
      <c r="G182" s="990">
        <f>'[3]VLH - détail'!I190</f>
        <v>0.81734114841509053</v>
      </c>
      <c r="H182" s="990">
        <f>'[3]VLH - détail'!O190</f>
        <v>1868.2419682943323</v>
      </c>
      <c r="I182" s="990">
        <f>'[3]VLH - détail'!P190</f>
        <v>8545.1472610078163</v>
      </c>
      <c r="J182" s="990">
        <v>1</v>
      </c>
      <c r="K182" s="1003">
        <v>2.5000000000000001E-2</v>
      </c>
      <c r="L182" s="1003"/>
      <c r="M182" s="990" t="s">
        <v>511</v>
      </c>
      <c r="N182" s="990">
        <f t="shared" si="3"/>
        <v>2</v>
      </c>
      <c r="O182" s="734"/>
      <c r="P182" s="627"/>
    </row>
    <row r="183" spans="2:16" s="631" customFormat="1" ht="30">
      <c r="B183" s="649">
        <v>176</v>
      </c>
      <c r="C183" s="625" t="s">
        <v>164</v>
      </c>
      <c r="D183" s="1041" t="s">
        <v>1709</v>
      </c>
      <c r="E183" s="995">
        <f>'[3]VLH - détail'!F191</f>
        <v>817.35586112877036</v>
      </c>
      <c r="F183" s="995"/>
      <c r="G183" s="990">
        <f>'[3]VLH - détail'!I191</f>
        <v>0.25297501805843886</v>
      </c>
      <c r="H183" s="990">
        <f>'[3]VLH - détail'!O191</f>
        <v>817.35586112877036</v>
      </c>
      <c r="I183" s="990">
        <f>'[3]VLH - détail'!P191</f>
        <v>3738.5019266909194</v>
      </c>
      <c r="J183" s="990">
        <v>1</v>
      </c>
      <c r="K183" s="1003">
        <v>4.7E-2</v>
      </c>
      <c r="L183" s="1003"/>
      <c r="M183" s="990" t="s">
        <v>511</v>
      </c>
      <c r="N183" s="990">
        <f t="shared" si="3"/>
        <v>2</v>
      </c>
      <c r="O183" s="734"/>
      <c r="P183" s="627"/>
    </row>
    <row r="184" spans="2:16" s="631" customFormat="1" ht="45">
      <c r="B184" s="649">
        <v>177</v>
      </c>
      <c r="C184" s="625" t="s">
        <v>411</v>
      </c>
      <c r="D184" s="1041" t="s">
        <v>1710</v>
      </c>
      <c r="E184" s="1093" t="s">
        <v>506</v>
      </c>
      <c r="F184" s="1094"/>
      <c r="G184" s="1094"/>
      <c r="H184" s="1094"/>
      <c r="I184" s="1095"/>
      <c r="J184" s="990">
        <v>1</v>
      </c>
      <c r="K184" s="1003" t="s">
        <v>506</v>
      </c>
      <c r="L184" s="1024" t="s">
        <v>1422</v>
      </c>
      <c r="M184" s="990" t="s">
        <v>507</v>
      </c>
      <c r="N184" s="990">
        <f t="shared" si="3"/>
        <v>2</v>
      </c>
      <c r="O184" s="734"/>
      <c r="P184" s="627"/>
    </row>
    <row r="185" spans="2:16" s="631" customFormat="1">
      <c r="B185" s="649">
        <v>178</v>
      </c>
      <c r="C185" s="625" t="s">
        <v>165</v>
      </c>
      <c r="D185" s="1041" t="s">
        <v>1713</v>
      </c>
      <c r="E185" s="995">
        <f>'[3]VLH - détail'!F193</f>
        <v>700.59073811037456</v>
      </c>
      <c r="F185" s="995"/>
      <c r="G185" s="990">
        <f>'[3]VLH - détail'!I193</f>
        <v>0.39531418522807871</v>
      </c>
      <c r="H185" s="990">
        <f>'[3]VLH - détail'!O193</f>
        <v>700.59073811037456</v>
      </c>
      <c r="I185" s="990">
        <f>'[3]VLH - détail'!P193</f>
        <v>3204.4302228779306</v>
      </c>
      <c r="J185" s="990">
        <v>1</v>
      </c>
      <c r="K185" s="1003">
        <v>2.4E-2</v>
      </c>
      <c r="L185" s="1003"/>
      <c r="M185" s="990" t="s">
        <v>511</v>
      </c>
      <c r="N185" s="990">
        <f t="shared" si="3"/>
        <v>2</v>
      </c>
      <c r="O185" s="734"/>
      <c r="P185" s="627"/>
    </row>
    <row r="186" spans="2:16">
      <c r="B186" s="121">
        <v>179</v>
      </c>
      <c r="C186" s="218" t="s">
        <v>109</v>
      </c>
      <c r="D186" s="1041" t="s">
        <v>1743</v>
      </c>
      <c r="E186" s="1020">
        <v>28.48</v>
      </c>
      <c r="F186" s="1020">
        <v>1.4630000000000001</v>
      </c>
      <c r="G186" s="1020">
        <v>2.1120000000000001</v>
      </c>
      <c r="H186" s="1020">
        <v>28.48</v>
      </c>
      <c r="I186" s="1020">
        <v>66.09</v>
      </c>
      <c r="J186" s="990">
        <v>1</v>
      </c>
      <c r="K186" s="1003">
        <v>0.69799999999999995</v>
      </c>
      <c r="L186" s="1003"/>
      <c r="M186" s="990">
        <v>2966</v>
      </c>
      <c r="N186" s="990">
        <f t="shared" si="3"/>
        <v>2</v>
      </c>
      <c r="O186" s="223"/>
      <c r="P186" s="65"/>
    </row>
    <row r="187" spans="2:16" s="631" customFormat="1">
      <c r="B187" s="649">
        <v>180</v>
      </c>
      <c r="C187" s="625" t="s">
        <v>412</v>
      </c>
      <c r="D187" s="1041" t="s">
        <v>1751</v>
      </c>
      <c r="E187" s="995">
        <f>'[3]VLH - détail'!F195</f>
        <v>934.12098414716615</v>
      </c>
      <c r="F187" s="995"/>
      <c r="G187" s="990">
        <f>'[3]VLH - détail'!I195</f>
        <v>0.53531866416774199</v>
      </c>
      <c r="H187" s="990">
        <f>'[3]VLH - détail'!O195</f>
        <v>934.12098414716615</v>
      </c>
      <c r="I187" s="990">
        <f>'[3]VLH - détail'!P195</f>
        <v>4272.5736305039081</v>
      </c>
      <c r="J187" s="990">
        <v>1</v>
      </c>
      <c r="K187" s="1003">
        <v>0.09</v>
      </c>
      <c r="L187" s="1003"/>
      <c r="M187" s="990" t="s">
        <v>511</v>
      </c>
      <c r="N187" s="990">
        <f t="shared" si="3"/>
        <v>2</v>
      </c>
      <c r="O187" s="734"/>
      <c r="P187" s="627"/>
    </row>
    <row r="188" spans="2:16" s="631" customFormat="1">
      <c r="B188" s="649">
        <v>181</v>
      </c>
      <c r="C188" s="649" t="s">
        <v>413</v>
      </c>
      <c r="D188" s="1041" t="s">
        <v>1752</v>
      </c>
      <c r="E188" s="995">
        <f>'[3]VLH - détail'!F196</f>
        <v>3035.8931984782894</v>
      </c>
      <c r="F188" s="995"/>
      <c r="G188" s="990">
        <f>'[3]VLH - détail'!I196</f>
        <v>3.0036829279116017</v>
      </c>
      <c r="H188" s="990">
        <f>'[3]VLH - détail'!O196</f>
        <v>3035.8931984782894</v>
      </c>
      <c r="I188" s="990">
        <f>'[3]VLH - détail'!P196</f>
        <v>13885.8642991377</v>
      </c>
      <c r="J188" s="990">
        <v>1</v>
      </c>
      <c r="K188" s="1003">
        <v>0.05</v>
      </c>
      <c r="L188" s="1003"/>
      <c r="M188" s="990" t="s">
        <v>511</v>
      </c>
      <c r="N188" s="990">
        <f t="shared" si="3"/>
        <v>2</v>
      </c>
      <c r="O188" s="734"/>
      <c r="P188" s="627"/>
    </row>
    <row r="189" spans="2:16" s="631" customFormat="1">
      <c r="B189" s="649">
        <v>182</v>
      </c>
      <c r="C189" s="649" t="s">
        <v>414</v>
      </c>
      <c r="D189" s="1041" t="s">
        <v>1754</v>
      </c>
      <c r="E189" s="995">
        <f>'[3]VLH - détail'!F197</f>
        <v>1167.6512301839575</v>
      </c>
      <c r="F189" s="995"/>
      <c r="G189" s="990">
        <f>'[3]VLH - détail'!I197</f>
        <v>0.57059957013381202</v>
      </c>
      <c r="H189" s="990">
        <f>'[3]VLH - détail'!O197</f>
        <v>1167.6512301839575</v>
      </c>
      <c r="I189" s="990">
        <f>'[3]VLH - détail'!P197</f>
        <v>5340.7170381298856</v>
      </c>
      <c r="J189" s="990">
        <v>1</v>
      </c>
      <c r="K189" s="1003">
        <v>4.2000000000000003E-2</v>
      </c>
      <c r="L189" s="1003"/>
      <c r="M189" s="990" t="s">
        <v>511</v>
      </c>
      <c r="N189" s="990">
        <f t="shared" si="3"/>
        <v>2</v>
      </c>
      <c r="O189" s="734"/>
      <c r="P189" s="627"/>
    </row>
    <row r="190" spans="2:16" s="631" customFormat="1">
      <c r="B190" s="649">
        <v>183</v>
      </c>
      <c r="C190" s="649" t="s">
        <v>166</v>
      </c>
      <c r="D190" s="1041" t="s">
        <v>1755</v>
      </c>
      <c r="E190" s="995">
        <f>'[3]VLH - détail'!F198</f>
        <v>4670.6049207358301</v>
      </c>
      <c r="F190" s="995"/>
      <c r="G190" s="990">
        <f>'[3]VLH - détail'!I198</f>
        <v>1.940635788709957</v>
      </c>
      <c r="H190" s="990">
        <f>'[3]VLH - détail'!O198</f>
        <v>4670.6049207358301</v>
      </c>
      <c r="I190" s="990">
        <f>'[3]VLH - détail'!P198</f>
        <v>21362.868152519542</v>
      </c>
      <c r="J190" s="990">
        <v>1</v>
      </c>
      <c r="K190" s="1003">
        <v>4.3999999999999997E-2</v>
      </c>
      <c r="L190" s="1003"/>
      <c r="M190" s="990" t="s">
        <v>511</v>
      </c>
      <c r="N190" s="990">
        <f t="shared" si="3"/>
        <v>2</v>
      </c>
      <c r="O190" s="734"/>
      <c r="P190" s="627"/>
    </row>
    <row r="191" spans="2:16" s="631" customFormat="1" ht="45">
      <c r="B191" s="649">
        <v>184</v>
      </c>
      <c r="C191" s="649" t="s">
        <v>167</v>
      </c>
      <c r="D191" s="1041" t="s">
        <v>1759</v>
      </c>
      <c r="E191" s="1093" t="s">
        <v>506</v>
      </c>
      <c r="F191" s="1094"/>
      <c r="G191" s="1094"/>
      <c r="H191" s="1094"/>
      <c r="I191" s="1095"/>
      <c r="J191" s="990">
        <v>1</v>
      </c>
      <c r="K191" s="1003" t="s">
        <v>506</v>
      </c>
      <c r="L191" s="1024" t="s">
        <v>1422</v>
      </c>
      <c r="M191" s="990" t="s">
        <v>507</v>
      </c>
      <c r="N191" s="990">
        <f t="shared" si="3"/>
        <v>2</v>
      </c>
      <c r="O191" s="734"/>
      <c r="P191" s="627"/>
    </row>
    <row r="192" spans="2:16" s="631" customFormat="1">
      <c r="B192" s="649">
        <v>185</v>
      </c>
      <c r="C192" s="649" t="s">
        <v>168</v>
      </c>
      <c r="D192" s="1041" t="s">
        <v>1765</v>
      </c>
      <c r="E192" s="995">
        <f>'[3]VLH - détail'!F200</f>
        <v>121.43572793913158</v>
      </c>
      <c r="F192" s="995"/>
      <c r="G192" s="990">
        <f>'[3]VLH - détail'!I200</f>
        <v>0.11249160421676309</v>
      </c>
      <c r="H192" s="990">
        <f>'[3]VLH - détail'!O200</f>
        <v>121.43572793913158</v>
      </c>
      <c r="I192" s="990">
        <f>'[3]VLH - détail'!P200</f>
        <v>555.43457196550798</v>
      </c>
      <c r="J192" s="990">
        <v>1</v>
      </c>
      <c r="K192" s="1003">
        <v>3.5000000000000003E-2</v>
      </c>
      <c r="L192" s="1003"/>
      <c r="M192" s="990" t="s">
        <v>511</v>
      </c>
      <c r="N192" s="990">
        <f t="shared" si="3"/>
        <v>2</v>
      </c>
      <c r="O192" s="734"/>
      <c r="P192" s="627"/>
    </row>
    <row r="193" spans="2:16" s="631" customFormat="1">
      <c r="B193" s="649">
        <v>186</v>
      </c>
      <c r="C193" s="649" t="s">
        <v>169</v>
      </c>
      <c r="D193" s="1041" t="s">
        <v>1773</v>
      </c>
      <c r="E193" s="995">
        <f>'[3]VLH - détail'!F201</f>
        <v>513.7665412809414</v>
      </c>
      <c r="F193" s="995"/>
      <c r="G193" s="990">
        <f>'[3]VLH - détail'!I201</f>
        <v>0.51000280423543132</v>
      </c>
      <c r="H193" s="990">
        <f>'[3]VLH - détail'!O201</f>
        <v>513.7665412809414</v>
      </c>
      <c r="I193" s="990">
        <f>'[3]VLH - détail'!P201</f>
        <v>2349.9154967771497</v>
      </c>
      <c r="J193" s="990">
        <v>1</v>
      </c>
      <c r="K193" s="1003">
        <v>0.218</v>
      </c>
      <c r="L193" s="1003"/>
      <c r="M193" s="990" t="s">
        <v>511</v>
      </c>
      <c r="N193" s="990">
        <f t="shared" si="3"/>
        <v>2</v>
      </c>
      <c r="O193" s="734"/>
      <c r="P193" s="627"/>
    </row>
    <row r="194" spans="2:16" s="631" customFormat="1">
      <c r="B194" s="649">
        <v>187</v>
      </c>
      <c r="C194" s="649" t="s">
        <v>170</v>
      </c>
      <c r="D194" s="1041" t="s">
        <v>1774</v>
      </c>
      <c r="E194" s="995">
        <f>'[3]VLH - détail'!F202</f>
        <v>233.53024603679154</v>
      </c>
      <c r="F194" s="995"/>
      <c r="G194" s="990">
        <f>'[3]VLH - détail'!I202</f>
        <v>0.18936232179624066</v>
      </c>
      <c r="H194" s="990">
        <f>'[3]VLH - détail'!O202</f>
        <v>233.53024603679154</v>
      </c>
      <c r="I194" s="990">
        <f>'[3]VLH - détail'!P202</f>
        <v>1068.143407625977</v>
      </c>
      <c r="J194" s="990">
        <v>1</v>
      </c>
      <c r="K194" s="1003">
        <v>0.17799999999999999</v>
      </c>
      <c r="L194" s="1003"/>
      <c r="M194" s="990" t="s">
        <v>511</v>
      </c>
      <c r="N194" s="990">
        <f t="shared" ref="N194:N240" si="4">J194*2</f>
        <v>2</v>
      </c>
      <c r="O194" s="734"/>
      <c r="P194" s="627"/>
    </row>
    <row r="195" spans="2:16" s="631" customFormat="1">
      <c r="B195" s="649">
        <v>188</v>
      </c>
      <c r="C195" s="649" t="s">
        <v>142</v>
      </c>
      <c r="D195" s="1041" t="s">
        <v>1556</v>
      </c>
      <c r="E195" s="995">
        <f>'[3]VLH - détail'!F203</f>
        <v>36.776715318568783</v>
      </c>
      <c r="F195" s="995"/>
      <c r="G195" s="990">
        <f>'[3]VLH - détail'!I203</f>
        <v>8.7354161261959051E-2</v>
      </c>
      <c r="H195" s="990">
        <f>'[3]VLH - détail'!O203</f>
        <v>34.52739271552413</v>
      </c>
      <c r="I195" s="990">
        <f>'[3]VLH - détail'!P203</f>
        <v>67.347223572387477</v>
      </c>
      <c r="J195" s="990">
        <v>1</v>
      </c>
      <c r="K195" s="1003">
        <v>35.466999999999999</v>
      </c>
      <c r="L195" s="1003"/>
      <c r="M195" s="990" t="s">
        <v>511</v>
      </c>
      <c r="N195" s="990">
        <f t="shared" si="4"/>
        <v>2</v>
      </c>
      <c r="O195" s="734"/>
      <c r="P195" s="627"/>
    </row>
    <row r="196" spans="2:16" s="631" customFormat="1">
      <c r="B196" s="649">
        <v>189</v>
      </c>
      <c r="C196" s="649" t="s">
        <v>144</v>
      </c>
      <c r="D196" s="1014" t="s">
        <v>1553</v>
      </c>
      <c r="E196" s="995">
        <f>'[3]VLH - détail'!F204</f>
        <v>25.115994224284055</v>
      </c>
      <c r="F196" s="995"/>
      <c r="G196" s="990">
        <f>'[3]VLH - détail'!I204</f>
        <v>1.1515066552416842E-2</v>
      </c>
      <c r="H196" s="990">
        <f>'[3]VLH - détail'!O204</f>
        <v>20.392046770972527</v>
      </c>
      <c r="I196" s="990">
        <f>'[3]VLH - détail'!P204</f>
        <v>44.981693345838003</v>
      </c>
      <c r="J196" s="990">
        <v>1</v>
      </c>
      <c r="K196" s="1003">
        <v>0.89119999999999999</v>
      </c>
      <c r="L196" s="1003"/>
      <c r="M196" s="990" t="s">
        <v>511</v>
      </c>
      <c r="N196" s="990">
        <f t="shared" si="4"/>
        <v>2</v>
      </c>
      <c r="O196" s="734"/>
      <c r="P196" s="627"/>
    </row>
    <row r="197" spans="2:16" s="631" customFormat="1">
      <c r="B197" s="649">
        <v>190</v>
      </c>
      <c r="C197" s="624" t="s">
        <v>145</v>
      </c>
      <c r="D197" s="1041" t="s">
        <v>1554</v>
      </c>
      <c r="E197" s="1029">
        <v>113.8</v>
      </c>
      <c r="F197" s="1029">
        <v>0.4491</v>
      </c>
      <c r="G197" s="1029">
        <v>9.1310000000000002</v>
      </c>
      <c r="H197" s="1016">
        <v>113.8</v>
      </c>
      <c r="I197" s="1016">
        <v>116.3</v>
      </c>
      <c r="J197" s="990">
        <v>1</v>
      </c>
      <c r="K197" s="1003">
        <v>38.002983445255197</v>
      </c>
      <c r="L197" s="1003"/>
      <c r="M197" s="987">
        <v>1184</v>
      </c>
      <c r="N197" s="990">
        <f t="shared" si="4"/>
        <v>2</v>
      </c>
      <c r="O197" s="734"/>
      <c r="P197" s="629"/>
    </row>
    <row r="198" spans="2:16" ht="30">
      <c r="B198" s="121">
        <v>191</v>
      </c>
      <c r="C198" s="121" t="s">
        <v>146</v>
      </c>
      <c r="D198" s="1014" t="s">
        <v>1590</v>
      </c>
      <c r="E198" s="996">
        <f>'[3]VLH - détail'!F206</f>
        <v>3.0857060888023802</v>
      </c>
      <c r="F198" s="996"/>
      <c r="G198" s="994">
        <f>'[3]VLH - détail'!I206</f>
        <v>1.030987658621395E-2</v>
      </c>
      <c r="H198" s="994">
        <f>'[3]VLH - détail'!O206</f>
        <v>2.1483899002081772</v>
      </c>
      <c r="I198" s="994">
        <f>'[3]VLH - détail'!P206</f>
        <v>3.965295316847369</v>
      </c>
      <c r="J198" s="990">
        <v>1</v>
      </c>
      <c r="K198" s="1003">
        <v>1.2150000000000001</v>
      </c>
      <c r="L198" s="1003"/>
      <c r="M198" s="990">
        <v>43.613694187662894</v>
      </c>
      <c r="N198" s="990">
        <f t="shared" si="4"/>
        <v>2</v>
      </c>
      <c r="O198" s="223"/>
      <c r="P198" s="65"/>
    </row>
    <row r="199" spans="2:16">
      <c r="B199" s="121">
        <v>192</v>
      </c>
      <c r="C199" s="121" t="s">
        <v>181</v>
      </c>
      <c r="D199" s="1041" t="s">
        <v>180</v>
      </c>
      <c r="E199" s="996">
        <f>'[3]VLH - détail'!F207</f>
        <v>2335.302460367915</v>
      </c>
      <c r="F199" s="996"/>
      <c r="G199" s="994">
        <f>'[3]VLH - détail'!I207</f>
        <v>0.79098496366060445</v>
      </c>
      <c r="H199" s="994">
        <f>'[3]VLH - détail'!O207</f>
        <v>2335.302460367915</v>
      </c>
      <c r="I199" s="994">
        <f>'[3]VLH - détail'!P207</f>
        <v>10681.434076259771</v>
      </c>
      <c r="J199" s="990">
        <v>1</v>
      </c>
      <c r="K199" s="1003">
        <v>1.0999999999999999E-2</v>
      </c>
      <c r="L199" s="1003"/>
      <c r="M199" s="990">
        <v>1000000000</v>
      </c>
      <c r="N199" s="990">
        <f t="shared" si="4"/>
        <v>2</v>
      </c>
      <c r="O199" s="223"/>
      <c r="P199" s="65"/>
    </row>
    <row r="200" spans="2:16" s="631" customFormat="1">
      <c r="B200" s="649">
        <v>193</v>
      </c>
      <c r="C200" s="649" t="s">
        <v>175</v>
      </c>
      <c r="D200" s="1041" t="s">
        <v>1541</v>
      </c>
      <c r="E200" s="995">
        <f>'[3]VLH - détail'!F208</f>
        <v>8500.5009557392113</v>
      </c>
      <c r="F200" s="995"/>
      <c r="G200" s="990">
        <f>'[3]VLH - détail'!I208</f>
        <v>2.8905756563744105</v>
      </c>
      <c r="H200" s="990">
        <f>'[3]VLH - détail'!O208</f>
        <v>8500.5009557392113</v>
      </c>
      <c r="I200" s="990">
        <f>'[3]VLH - détail'!P208</f>
        <v>38880.420037585565</v>
      </c>
      <c r="J200" s="990">
        <v>1</v>
      </c>
      <c r="K200" s="1003">
        <v>2.7E-2</v>
      </c>
      <c r="L200" s="1003"/>
      <c r="M200" s="990" t="s">
        <v>511</v>
      </c>
      <c r="N200" s="990">
        <f t="shared" si="4"/>
        <v>2</v>
      </c>
      <c r="O200" s="734"/>
      <c r="P200" s="627"/>
    </row>
    <row r="201" spans="2:16" s="631" customFormat="1">
      <c r="B201" s="649">
        <v>194</v>
      </c>
      <c r="C201" s="649" t="s">
        <v>182</v>
      </c>
      <c r="D201" s="1041" t="s">
        <v>1696</v>
      </c>
      <c r="E201" s="995">
        <f>'[3]VLH - détail'!F209</f>
        <v>116.76512301839577</v>
      </c>
      <c r="F201" s="995"/>
      <c r="G201" s="990">
        <f>'[3]VLH - détail'!I209</f>
        <v>3.9860335215461E-2</v>
      </c>
      <c r="H201" s="990">
        <f>'[3]VLH - détail'!O209</f>
        <v>116.76512301839577</v>
      </c>
      <c r="I201" s="990">
        <f>'[3]VLH - détail'!P209</f>
        <v>534.07170381298852</v>
      </c>
      <c r="J201" s="990">
        <v>1</v>
      </c>
      <c r="K201" s="1003">
        <v>3.6999999999999998E-2</v>
      </c>
      <c r="L201" s="1003"/>
      <c r="M201" s="990" t="s">
        <v>511</v>
      </c>
      <c r="N201" s="990">
        <f t="shared" si="4"/>
        <v>2</v>
      </c>
      <c r="O201" s="734"/>
      <c r="P201" s="627"/>
    </row>
    <row r="202" spans="2:16" s="631" customFormat="1">
      <c r="B202" s="649">
        <v>195</v>
      </c>
      <c r="C202" s="649" t="s">
        <v>183</v>
      </c>
      <c r="D202" s="1041" t="s">
        <v>1698</v>
      </c>
      <c r="E202" s="995">
        <f>'[3]VLH - détail'!F210</f>
        <v>233.53024603679154</v>
      </c>
      <c r="F202" s="995"/>
      <c r="G202" s="990">
        <f>'[3]VLH - détail'!I210</f>
        <v>7.9134186443665572E-2</v>
      </c>
      <c r="H202" s="990">
        <f>'[3]VLH - détail'!O210</f>
        <v>233.53024603679154</v>
      </c>
      <c r="I202" s="990">
        <f>'[3]VLH - détail'!P210</f>
        <v>1068.143407625977</v>
      </c>
      <c r="J202" s="990">
        <v>1</v>
      </c>
      <c r="K202" s="1003">
        <v>1.2E-2</v>
      </c>
      <c r="L202" s="1003"/>
      <c r="M202" s="990" t="s">
        <v>511</v>
      </c>
      <c r="N202" s="990">
        <f t="shared" si="4"/>
        <v>2</v>
      </c>
      <c r="O202" s="734"/>
      <c r="P202" s="627"/>
    </row>
    <row r="203" spans="2:16" s="631" customFormat="1">
      <c r="B203" s="649">
        <v>196</v>
      </c>
      <c r="C203" s="649" t="s">
        <v>148</v>
      </c>
      <c r="D203" s="1041" t="s">
        <v>1634</v>
      </c>
      <c r="E203" s="990">
        <v>235.3</v>
      </c>
      <c r="F203" s="990">
        <v>1.0009999999999999</v>
      </c>
      <c r="G203" s="990">
        <v>1.8109999999999999</v>
      </c>
      <c r="H203" s="990">
        <v>175.8</v>
      </c>
      <c r="I203" s="990">
        <v>167.9</v>
      </c>
      <c r="J203" s="990">
        <v>1</v>
      </c>
      <c r="K203" s="1003">
        <v>9.8000000000000004E-2</v>
      </c>
      <c r="L203" s="1003"/>
      <c r="M203" s="990">
        <v>179400000</v>
      </c>
      <c r="N203" s="990">
        <f t="shared" si="4"/>
        <v>2</v>
      </c>
      <c r="O203" s="734"/>
      <c r="P203" s="627"/>
    </row>
    <row r="204" spans="2:16">
      <c r="B204" s="121">
        <v>197</v>
      </c>
      <c r="C204" s="221" t="s">
        <v>415</v>
      </c>
      <c r="D204" s="1041" t="s">
        <v>1682</v>
      </c>
      <c r="E204" s="1020">
        <v>43630</v>
      </c>
      <c r="F204" s="1020">
        <v>0.3357</v>
      </c>
      <c r="G204" s="1020">
        <v>0.33579999999999999</v>
      </c>
      <c r="H204" s="1020">
        <v>3.8010000000000002</v>
      </c>
      <c r="I204" s="1020">
        <v>3.8969999999999998</v>
      </c>
      <c r="J204" s="990">
        <f>'[3]VLnappe - détail'!R203</f>
        <v>180</v>
      </c>
      <c r="K204" s="1003" t="s">
        <v>1807</v>
      </c>
      <c r="L204" s="1003"/>
      <c r="M204" s="990">
        <v>65.19</v>
      </c>
      <c r="N204" s="990">
        <f t="shared" si="4"/>
        <v>360</v>
      </c>
      <c r="O204" s="223"/>
      <c r="P204" s="65"/>
    </row>
    <row r="205" spans="2:16">
      <c r="B205" s="121">
        <v>198</v>
      </c>
      <c r="C205" s="121" t="s">
        <v>193</v>
      </c>
      <c r="D205" s="1041" t="s">
        <v>1501</v>
      </c>
      <c r="E205" s="996">
        <f>'[3]VLH - détail'!F213</f>
        <v>7.1639099510883026</v>
      </c>
      <c r="F205" s="996"/>
      <c r="G205" s="994">
        <f>'[3]VLH - détail'!I213</f>
        <v>6.3818901555875085E-3</v>
      </c>
      <c r="H205" s="994">
        <f>'[3]VLH - détail'!O213</f>
        <v>0.32174582712797967</v>
      </c>
      <c r="I205" s="994">
        <f>'[3]VLH - détail'!P213</f>
        <v>0.32174582712797967</v>
      </c>
      <c r="J205" s="990">
        <f>'[3]VLnappe - détail'!R204</f>
        <v>0.24</v>
      </c>
      <c r="K205" s="999">
        <v>3.5000000000000001E-3</v>
      </c>
      <c r="L205" s="999"/>
      <c r="M205" s="990">
        <v>257.07842485297181</v>
      </c>
      <c r="N205" s="990">
        <f t="shared" si="4"/>
        <v>0.48</v>
      </c>
      <c r="O205" s="223"/>
      <c r="P205" s="65"/>
    </row>
    <row r="206" spans="2:16">
      <c r="B206" s="121">
        <v>199</v>
      </c>
      <c r="C206" s="121" t="s">
        <v>194</v>
      </c>
      <c r="D206" s="1041" t="s">
        <v>1507</v>
      </c>
      <c r="E206" s="996">
        <f>'[3]VLH - détail'!F214</f>
        <v>934.12098414716615</v>
      </c>
      <c r="F206" s="996"/>
      <c r="G206" s="994">
        <f>'[3]VLH - détail'!I214</f>
        <v>0.43157284636732673</v>
      </c>
      <c r="H206" s="994">
        <f>'[3]VLH - détail'!O214</f>
        <v>934.12098414716615</v>
      </c>
      <c r="I206" s="994">
        <f>'[3]VLH - détail'!P214</f>
        <v>4272.5736305039081</v>
      </c>
      <c r="J206" s="990">
        <f>'[3]VLnappe - détail'!R205</f>
        <v>4.9000000000000002E-2</v>
      </c>
      <c r="K206" s="999">
        <v>8.7000000000000001E-4</v>
      </c>
      <c r="L206" s="999"/>
      <c r="M206" s="990">
        <v>1000000000</v>
      </c>
      <c r="N206" s="990">
        <f t="shared" si="4"/>
        <v>9.8000000000000004E-2</v>
      </c>
      <c r="O206" s="223"/>
      <c r="P206" s="65"/>
    </row>
    <row r="207" spans="2:16" s="631" customFormat="1">
      <c r="B207" s="649">
        <v>200</v>
      </c>
      <c r="C207" s="649" t="s">
        <v>147</v>
      </c>
      <c r="D207" s="1041" t="s">
        <v>1658</v>
      </c>
      <c r="E207" s="995">
        <f>'[3]VLH - détail'!F215</f>
        <v>9.2117861140482713</v>
      </c>
      <c r="F207" s="995"/>
      <c r="G207" s="990">
        <f>'[3]VLH - détail'!I215</f>
        <v>6.9649118417572644E-3</v>
      </c>
      <c r="H207" s="990">
        <f>'[3]VLH - détail'!O215</f>
        <v>8.8052002061220556</v>
      </c>
      <c r="I207" s="990">
        <f>'[3]VLH - détail'!P215</f>
        <v>17.948293812673739</v>
      </c>
      <c r="J207" s="990">
        <v>1</v>
      </c>
      <c r="K207" s="1003">
        <v>0.307</v>
      </c>
      <c r="L207" s="1003"/>
      <c r="M207" s="990">
        <v>454.01445251466583</v>
      </c>
      <c r="N207" s="990">
        <f t="shared" si="4"/>
        <v>2</v>
      </c>
      <c r="O207" s="734"/>
      <c r="P207" s="627"/>
    </row>
    <row r="208" spans="2:16">
      <c r="B208" s="121">
        <v>201</v>
      </c>
      <c r="C208" s="121" t="s">
        <v>65</v>
      </c>
      <c r="D208" s="1041" t="s">
        <v>1603</v>
      </c>
      <c r="E208" s="996">
        <f>'[3]VLH - détail'!F216</f>
        <v>38.545680415379913</v>
      </c>
      <c r="F208" s="996"/>
      <c r="G208" s="994">
        <f>'[3]VLH - détail'!I216</f>
        <v>0.11486295712545876</v>
      </c>
      <c r="H208" s="994">
        <f>'[3]VLH - détail'!O216</f>
        <v>0.66752818193731145</v>
      </c>
      <c r="I208" s="994">
        <f>'[3]VLH - détail'!P216</f>
        <v>0.66752818193731145</v>
      </c>
      <c r="J208" s="990">
        <f>'[3]VLnappe - détail'!R207</f>
        <v>7.5</v>
      </c>
      <c r="K208" s="999">
        <v>0.2858</v>
      </c>
      <c r="L208" s="999"/>
      <c r="M208" s="990">
        <v>93.940525223226828</v>
      </c>
      <c r="N208" s="990">
        <f t="shared" si="4"/>
        <v>15</v>
      </c>
      <c r="O208" s="223"/>
      <c r="P208" s="65"/>
    </row>
    <row r="209" spans="2:16">
      <c r="B209" s="121">
        <v>202</v>
      </c>
      <c r="C209" s="121" t="s">
        <v>416</v>
      </c>
      <c r="D209" s="634" t="s">
        <v>1720</v>
      </c>
      <c r="E209" s="1096" t="s">
        <v>506</v>
      </c>
      <c r="F209" s="1097"/>
      <c r="G209" s="1097"/>
      <c r="H209" s="1097"/>
      <c r="I209" s="1098"/>
      <c r="J209" s="990">
        <f>'[3]VLnappe - détail'!R208</f>
        <v>60000000</v>
      </c>
      <c r="K209" s="999">
        <v>399825.83</v>
      </c>
      <c r="L209" s="999"/>
      <c r="M209" s="990" t="s">
        <v>507</v>
      </c>
      <c r="N209" s="990">
        <f t="shared" si="4"/>
        <v>120000000</v>
      </c>
      <c r="O209" s="223"/>
      <c r="P209" s="65"/>
    </row>
    <row r="210" spans="2:16">
      <c r="B210" s="121">
        <v>203</v>
      </c>
      <c r="C210" s="121" t="s">
        <v>59</v>
      </c>
      <c r="D210" s="1041" t="s">
        <v>1563</v>
      </c>
      <c r="E210" s="996">
        <f>'[3]VLH - détail'!F218</f>
        <v>210177.22143311237</v>
      </c>
      <c r="F210" s="996"/>
      <c r="G210" s="994">
        <f>'[3]VLH - détail'!I218</f>
        <v>60.372940850855791</v>
      </c>
      <c r="H210" s="994">
        <f>'[3]VLH - détail'!O218</f>
        <v>210177.22143311237</v>
      </c>
      <c r="I210" s="994">
        <f>'[3]VLH - détail'!P218</f>
        <v>961329.06686337932</v>
      </c>
      <c r="J210" s="990">
        <f>'[3]VLnappe - détail'!R209</f>
        <v>140</v>
      </c>
      <c r="K210" s="999">
        <v>0.71099999999999997</v>
      </c>
      <c r="L210" s="999"/>
      <c r="M210" s="990" t="s">
        <v>511</v>
      </c>
      <c r="N210" s="990">
        <f t="shared" si="4"/>
        <v>280</v>
      </c>
      <c r="O210" s="223"/>
      <c r="P210" s="65"/>
    </row>
    <row r="211" spans="2:16">
      <c r="B211" s="121">
        <v>204</v>
      </c>
      <c r="C211" s="121" t="s">
        <v>75</v>
      </c>
      <c r="D211" s="1041" t="s">
        <v>1639</v>
      </c>
      <c r="E211" s="996">
        <f>'[3]VLH - détail'!F219</f>
        <v>46706.049207358308</v>
      </c>
      <c r="F211" s="996"/>
      <c r="G211" s="994">
        <f>'[3]VLH - détail'!I219</f>
        <v>12.919465629115795</v>
      </c>
      <c r="H211" s="994">
        <f>'[3]VLH - détail'!O219</f>
        <v>46706.049207358308</v>
      </c>
      <c r="I211" s="994">
        <f>'[3]VLH - détail'!P219</f>
        <v>213628.6815251954</v>
      </c>
      <c r="J211" s="990">
        <f>'[3]VLnappe - détail'!R210</f>
        <v>1200.0000000000002</v>
      </c>
      <c r="K211" s="999">
        <v>6.3804999999999996</v>
      </c>
      <c r="L211" s="999"/>
      <c r="M211" s="990" t="s">
        <v>511</v>
      </c>
      <c r="N211" s="990">
        <f t="shared" si="4"/>
        <v>2400.0000000000005</v>
      </c>
      <c r="O211" s="223"/>
      <c r="P211" s="65"/>
    </row>
    <row r="212" spans="2:16" s="1010" customFormat="1">
      <c r="B212" s="1011">
        <v>205</v>
      </c>
      <c r="C212" s="1007" t="s">
        <v>337</v>
      </c>
      <c r="D212" s="1041" t="s">
        <v>1663</v>
      </c>
      <c r="E212" s="990">
        <v>46.92</v>
      </c>
      <c r="F212" s="990">
        <v>7.1900000000000006E-2</v>
      </c>
      <c r="G212" s="990">
        <v>0.113</v>
      </c>
      <c r="H212" s="1017">
        <v>36.96</v>
      </c>
      <c r="I212" s="1017">
        <v>36.96</v>
      </c>
      <c r="J212" s="990">
        <f>'[3]VLnappe - détail'!R211</f>
        <v>0.1</v>
      </c>
      <c r="K212" s="1003">
        <v>3.0271896622499502E-3</v>
      </c>
      <c r="L212" s="1003"/>
      <c r="M212" s="990">
        <v>6431</v>
      </c>
      <c r="N212" s="990">
        <f t="shared" si="4"/>
        <v>0.2</v>
      </c>
      <c r="O212" s="1012"/>
      <c r="P212" s="1008"/>
    </row>
    <row r="213" spans="2:16" ht="45">
      <c r="B213" s="121">
        <v>206</v>
      </c>
      <c r="C213" s="121" t="s">
        <v>417</v>
      </c>
      <c r="D213" s="634" t="s">
        <v>1772</v>
      </c>
      <c r="E213" s="1096" t="s">
        <v>506</v>
      </c>
      <c r="F213" s="1097"/>
      <c r="G213" s="1097"/>
      <c r="H213" s="1097"/>
      <c r="I213" s="1098"/>
      <c r="J213" s="990">
        <f>'[3]VLnappe - détail'!R212</f>
        <v>50</v>
      </c>
      <c r="K213" s="1003" t="s">
        <v>506</v>
      </c>
      <c r="L213" s="1024" t="s">
        <v>1422</v>
      </c>
      <c r="M213" s="990" t="s">
        <v>507</v>
      </c>
      <c r="N213" s="990">
        <f t="shared" si="4"/>
        <v>100</v>
      </c>
      <c r="O213" s="223"/>
      <c r="P213" s="65"/>
    </row>
    <row r="214" spans="2:16">
      <c r="B214" s="121">
        <v>207</v>
      </c>
      <c r="C214" s="121" t="s">
        <v>418</v>
      </c>
      <c r="D214" s="634" t="s">
        <v>1470</v>
      </c>
      <c r="E214" s="996">
        <f>'[3]VLH - détail'!F222</f>
        <v>65.486023897816395</v>
      </c>
      <c r="F214" s="996"/>
      <c r="G214" s="994">
        <f>'[3]VLH - détail'!I222</f>
        <v>0.10884036196303516</v>
      </c>
      <c r="H214" s="994">
        <f>'[3]VLH - détail'!O222</f>
        <v>15.935933663008324</v>
      </c>
      <c r="I214" s="994">
        <f>'[3]VLH - détail'!P222</f>
        <v>71.475550217756549</v>
      </c>
      <c r="J214" s="990">
        <f>'[3]VLnappe - détail'!R213</f>
        <v>9</v>
      </c>
      <c r="K214" s="1003">
        <v>15.54</v>
      </c>
      <c r="L214" s="1003"/>
      <c r="M214" s="990">
        <v>1000000000</v>
      </c>
      <c r="N214" s="990">
        <f t="shared" si="4"/>
        <v>18</v>
      </c>
      <c r="O214" s="223"/>
      <c r="P214" s="65"/>
    </row>
    <row r="215" spans="2:16" ht="24">
      <c r="B215" s="121">
        <v>208</v>
      </c>
      <c r="C215" s="121" t="s">
        <v>419</v>
      </c>
      <c r="D215" s="634" t="s">
        <v>1678</v>
      </c>
      <c r="E215" s="996">
        <f>'[3]VLH - détail'!F223</f>
        <v>1000000</v>
      </c>
      <c r="F215" s="996"/>
      <c r="G215" s="994">
        <f>'[3]VLH - détail'!I223</f>
        <v>1000000</v>
      </c>
      <c r="H215" s="994">
        <f>'[3]VLH - détail'!O223</f>
        <v>1000000</v>
      </c>
      <c r="I215" s="994">
        <f>'[3]VLH - détail'!P223</f>
        <v>1000000</v>
      </c>
      <c r="J215" s="990">
        <f>'[3]VLnappe - détail'!R214</f>
        <v>49800</v>
      </c>
      <c r="K215" s="1003">
        <v>331.85</v>
      </c>
      <c r="L215" s="1003"/>
      <c r="M215" s="984" t="s">
        <v>512</v>
      </c>
      <c r="N215" s="990">
        <f t="shared" si="4"/>
        <v>99600</v>
      </c>
      <c r="O215" s="223"/>
      <c r="P215" s="67"/>
    </row>
    <row r="216" spans="2:16" ht="24">
      <c r="B216" s="121">
        <v>209</v>
      </c>
      <c r="C216" s="121" t="s">
        <v>420</v>
      </c>
      <c r="D216" s="634" t="s">
        <v>1632</v>
      </c>
      <c r="E216" s="996">
        <f>'[3]VLH - détail'!F224</f>
        <v>1000000</v>
      </c>
      <c r="F216" s="996"/>
      <c r="G216" s="994">
        <f>'[3]VLH - détail'!I224</f>
        <v>390</v>
      </c>
      <c r="H216" s="994">
        <f>'[3]VLH - détail'!O224</f>
        <v>1000000</v>
      </c>
      <c r="I216" s="994">
        <f>'[3]VLH - détail'!P224</f>
        <v>1000000</v>
      </c>
      <c r="J216" s="990">
        <f>'[3]VLnappe - détail'!R215</f>
        <v>49800</v>
      </c>
      <c r="K216" s="1003">
        <v>331.85</v>
      </c>
      <c r="L216" s="1003"/>
      <c r="M216" s="984" t="s">
        <v>512</v>
      </c>
      <c r="N216" s="990">
        <f t="shared" si="4"/>
        <v>99600</v>
      </c>
      <c r="O216" s="223"/>
      <c r="P216" s="67"/>
    </row>
    <row r="217" spans="2:16" ht="24">
      <c r="B217" s="121">
        <v>210</v>
      </c>
      <c r="C217" s="121" t="s">
        <v>421</v>
      </c>
      <c r="D217" s="634" t="s">
        <v>1753</v>
      </c>
      <c r="E217" s="996">
        <f>'[3]VLH - détail'!F225</f>
        <v>1000000</v>
      </c>
      <c r="F217" s="996"/>
      <c r="G217" s="994">
        <f>'[3]VLH - détail'!I225</f>
        <v>694</v>
      </c>
      <c r="H217" s="994">
        <f>'[3]VLH - détail'!O225</f>
        <v>1000000</v>
      </c>
      <c r="I217" s="994">
        <f>'[3]VLH - détail'!P225</f>
        <v>1000000</v>
      </c>
      <c r="J217" s="990">
        <f>'[3]VLnappe - détail'!R216</f>
        <v>49800</v>
      </c>
      <c r="K217" s="1003">
        <v>240.96</v>
      </c>
      <c r="L217" s="1003"/>
      <c r="M217" s="984" t="s">
        <v>512</v>
      </c>
      <c r="N217" s="990">
        <f t="shared" si="4"/>
        <v>99600</v>
      </c>
      <c r="O217" s="223"/>
      <c r="P217" s="67"/>
    </row>
    <row r="218" spans="2:16" ht="24">
      <c r="B218" s="121">
        <v>211</v>
      </c>
      <c r="C218" s="121" t="s">
        <v>422</v>
      </c>
      <c r="D218" s="634" t="s">
        <v>1478</v>
      </c>
      <c r="E218" s="996">
        <f>'[3]VLH - détail'!F226</f>
        <v>77018.649469428274</v>
      </c>
      <c r="F218" s="996"/>
      <c r="G218" s="994">
        <f>'[3]VLH - détail'!I226</f>
        <v>6.9405917310745977</v>
      </c>
      <c r="H218" s="994">
        <f>'[3]VLH - détail'!O226</f>
        <v>76997.08905023626</v>
      </c>
      <c r="I218" s="994">
        <f>'[3]VLH - détail'!P226</f>
        <v>350187.07193839754</v>
      </c>
      <c r="J218" s="990">
        <f>'[3]VLnappe - détail'!R217</f>
        <v>1980</v>
      </c>
      <c r="K218" s="999">
        <v>15.61</v>
      </c>
      <c r="L218" s="1003"/>
      <c r="M218" s="984" t="s">
        <v>512</v>
      </c>
      <c r="N218" s="990">
        <f t="shared" si="4"/>
        <v>3960</v>
      </c>
      <c r="O218" s="223"/>
      <c r="P218" s="67"/>
    </row>
    <row r="219" spans="2:16" ht="45">
      <c r="B219" s="121">
        <v>212</v>
      </c>
      <c r="C219" s="121" t="s">
        <v>423</v>
      </c>
      <c r="D219" s="634" t="s">
        <v>1782</v>
      </c>
      <c r="E219" s="1096" t="s">
        <v>506</v>
      </c>
      <c r="F219" s="1097"/>
      <c r="G219" s="1097"/>
      <c r="H219" s="1097"/>
      <c r="I219" s="1098"/>
      <c r="J219" s="990">
        <f>'[3]VLnappe - détail'!R218</f>
        <v>190</v>
      </c>
      <c r="K219" s="999" t="s">
        <v>506</v>
      </c>
      <c r="L219" s="1024" t="s">
        <v>1422</v>
      </c>
      <c r="M219" s="990" t="s">
        <v>507</v>
      </c>
      <c r="N219" s="990">
        <f t="shared" si="4"/>
        <v>380</v>
      </c>
      <c r="O219" s="223"/>
      <c r="P219" s="65"/>
    </row>
    <row r="220" spans="2:16" s="603" customFormat="1" ht="22.5" customHeight="1">
      <c r="B220" s="617">
        <v>213</v>
      </c>
      <c r="C220" s="622" t="s">
        <v>424</v>
      </c>
      <c r="D220" s="634" t="s">
        <v>1648</v>
      </c>
      <c r="E220" s="987">
        <v>33520</v>
      </c>
      <c r="F220" s="987">
        <v>34.64</v>
      </c>
      <c r="G220" s="987">
        <v>51.23</v>
      </c>
      <c r="H220" s="995">
        <v>1878</v>
      </c>
      <c r="I220" s="995">
        <v>1878</v>
      </c>
      <c r="J220" s="990">
        <v>600</v>
      </c>
      <c r="K220" s="1030">
        <v>7.9685612353381545</v>
      </c>
      <c r="L220" s="1031"/>
      <c r="M220" s="990">
        <v>2590000</v>
      </c>
      <c r="N220" s="990">
        <f t="shared" si="4"/>
        <v>1200</v>
      </c>
      <c r="O220" s="569" t="s">
        <v>2433</v>
      </c>
      <c r="P220" s="729"/>
    </row>
    <row r="221" spans="2:16" s="631" customFormat="1">
      <c r="B221" s="649">
        <v>214</v>
      </c>
      <c r="C221" s="649" t="s">
        <v>425</v>
      </c>
      <c r="D221" s="634" t="s">
        <v>1559</v>
      </c>
      <c r="E221" s="995">
        <f>'[3]VLH - détail'!F229</f>
        <v>7005.9073811037451</v>
      </c>
      <c r="F221" s="995"/>
      <c r="G221" s="990">
        <f>'[3]VLH - détail'!I229</f>
        <v>36.142788967575534</v>
      </c>
      <c r="H221" s="990">
        <f>'[3]VLH - détail'!O229</f>
        <v>7005.9073811037451</v>
      </c>
      <c r="I221" s="990">
        <f>'[3]VLH - détail'!P229</f>
        <v>32044.30222877931</v>
      </c>
      <c r="J221" s="990">
        <f>'[3]VLnappe - détail'!R220</f>
        <v>180</v>
      </c>
      <c r="K221" s="1003">
        <v>12271.81</v>
      </c>
      <c r="L221" s="1003"/>
      <c r="M221" s="990" t="s">
        <v>541</v>
      </c>
      <c r="N221" s="990">
        <f t="shared" si="4"/>
        <v>360</v>
      </c>
      <c r="O221" s="734"/>
      <c r="P221" s="627"/>
    </row>
    <row r="222" spans="2:16" s="631" customFormat="1" ht="30">
      <c r="B222" s="649">
        <v>215</v>
      </c>
      <c r="C222" s="649" t="s">
        <v>426</v>
      </c>
      <c r="D222" s="1041" t="s">
        <v>1564</v>
      </c>
      <c r="E222" s="995">
        <f>'[3]VLH - détail'!F230</f>
        <v>840.7088857324494</v>
      </c>
      <c r="F222" s="995"/>
      <c r="G222" s="990">
        <f>'[3]VLH - détail'!I230</f>
        <v>1.4861484011196651</v>
      </c>
      <c r="H222" s="990">
        <f>'[3]VLH - détail'!O230</f>
        <v>840.7088857324494</v>
      </c>
      <c r="I222" s="990">
        <f>'[3]VLH - détail'!P230</f>
        <v>3845.316267453517</v>
      </c>
      <c r="J222" s="990">
        <v>1</v>
      </c>
      <c r="K222" s="989">
        <v>1.179</v>
      </c>
      <c r="L222" s="989"/>
      <c r="M222" s="990" t="s">
        <v>511</v>
      </c>
      <c r="N222" s="990">
        <f t="shared" si="4"/>
        <v>2</v>
      </c>
      <c r="O222" s="734"/>
      <c r="P222" s="627"/>
    </row>
    <row r="223" spans="2:16" s="631" customFormat="1">
      <c r="B223" s="649">
        <v>216</v>
      </c>
      <c r="C223" s="649" t="s">
        <v>427</v>
      </c>
      <c r="D223" s="1041" t="s">
        <v>1656</v>
      </c>
      <c r="E223" s="995">
        <f>'[3]VLH - détail'!F231</f>
        <v>467.06049207358308</v>
      </c>
      <c r="F223" s="995"/>
      <c r="G223" s="990">
        <f>'[3]VLH - détail'!I231</f>
        <v>302.82846298938591</v>
      </c>
      <c r="H223" s="990">
        <f>'[3]VLH - détail'!O231</f>
        <v>467.06049207358308</v>
      </c>
      <c r="I223" s="990">
        <f>'[3]VLH - détail'!P231</f>
        <v>2136.2868152519541</v>
      </c>
      <c r="J223" s="990">
        <v>1</v>
      </c>
      <c r="K223" s="989">
        <v>5.0000000000000001E-3</v>
      </c>
      <c r="L223" s="989"/>
      <c r="M223" s="990" t="s">
        <v>511</v>
      </c>
      <c r="N223" s="990">
        <f t="shared" si="4"/>
        <v>2</v>
      </c>
      <c r="O223" s="734"/>
      <c r="P223" s="627"/>
    </row>
    <row r="224" spans="2:16" s="631" customFormat="1">
      <c r="B224" s="649">
        <v>217</v>
      </c>
      <c r="C224" s="649" t="s">
        <v>428</v>
      </c>
      <c r="D224" s="1041" t="s">
        <v>1657</v>
      </c>
      <c r="E224" s="995">
        <f>'[3]VLH - détail'!F232</f>
        <v>467.06049207358308</v>
      </c>
      <c r="F224" s="995"/>
      <c r="G224" s="990">
        <f>'[3]VLH - détail'!I232</f>
        <v>302.82846298938591</v>
      </c>
      <c r="H224" s="990">
        <f>'[3]VLH - détail'!O232</f>
        <v>467.06049207358308</v>
      </c>
      <c r="I224" s="990">
        <f>'[3]VLH - détail'!P232</f>
        <v>2136.2868152519541</v>
      </c>
      <c r="J224" s="990">
        <v>1</v>
      </c>
      <c r="K224" s="989">
        <v>5.0000000000000001E-3</v>
      </c>
      <c r="L224" s="989"/>
      <c r="M224" s="990" t="s">
        <v>511</v>
      </c>
      <c r="N224" s="990">
        <f t="shared" si="4"/>
        <v>2</v>
      </c>
      <c r="O224" s="734"/>
      <c r="P224" s="627"/>
    </row>
    <row r="225" spans="2:16" s="631" customFormat="1">
      <c r="B225" s="649">
        <v>218</v>
      </c>
      <c r="C225" s="649" t="s">
        <v>429</v>
      </c>
      <c r="D225" s="1041" t="s">
        <v>1730</v>
      </c>
      <c r="E225" s="995">
        <f>'[3]VLH - détail'!F233</f>
        <v>934.12098414716615</v>
      </c>
      <c r="F225" s="995"/>
      <c r="G225" s="990">
        <f>'[3]VLH - détail'!I233</f>
        <v>605.65692597877182</v>
      </c>
      <c r="H225" s="990">
        <f>'[3]VLH - détail'!O233</f>
        <v>934.12098414716615</v>
      </c>
      <c r="I225" s="990">
        <f>'[3]VLH - détail'!P233</f>
        <v>4272.5736305039081</v>
      </c>
      <c r="J225" s="990">
        <v>1</v>
      </c>
      <c r="K225" s="989">
        <v>4.5999999999999999E-3</v>
      </c>
      <c r="L225" s="989"/>
      <c r="M225" s="990" t="s">
        <v>511</v>
      </c>
      <c r="N225" s="990">
        <f t="shared" si="4"/>
        <v>2</v>
      </c>
      <c r="O225" s="734"/>
      <c r="P225" s="627"/>
    </row>
    <row r="226" spans="2:16" s="631" customFormat="1" ht="15.75" customHeight="1">
      <c r="B226" s="649">
        <v>219</v>
      </c>
      <c r="C226" s="649" t="s">
        <v>430</v>
      </c>
      <c r="D226" s="1041" t="s">
        <v>1733</v>
      </c>
      <c r="E226" s="995">
        <f>'[3]VLH - détail'!F234</f>
        <v>934.12098414716615</v>
      </c>
      <c r="F226" s="995"/>
      <c r="G226" s="990">
        <f>'[3]VLH - détail'!I234</f>
        <v>605.65692597877182</v>
      </c>
      <c r="H226" s="990">
        <f>'[3]VLH - détail'!O234</f>
        <v>934.12098414716615</v>
      </c>
      <c r="I226" s="990">
        <f>'[3]VLH - détail'!P234</f>
        <v>4272.5736305039081</v>
      </c>
      <c r="J226" s="990">
        <v>1</v>
      </c>
      <c r="K226" s="989">
        <v>4.5999999999999999E-3</v>
      </c>
      <c r="L226" s="989"/>
      <c r="M226" s="990" t="s">
        <v>511</v>
      </c>
      <c r="N226" s="990">
        <f t="shared" si="4"/>
        <v>2</v>
      </c>
      <c r="O226" s="734"/>
      <c r="P226" s="627"/>
    </row>
    <row r="227" spans="2:16" s="631" customFormat="1">
      <c r="B227" s="649">
        <v>220</v>
      </c>
      <c r="C227" s="649" t="s">
        <v>431</v>
      </c>
      <c r="D227" s="1041" t="s">
        <v>1679</v>
      </c>
      <c r="E227" s="995">
        <f>'[3]VLH - détail'!F235</f>
        <v>23353.024603679154</v>
      </c>
      <c r="F227" s="995"/>
      <c r="G227" s="990">
        <f>'[3]VLH - détail'!I235</f>
        <v>15141.423149469296</v>
      </c>
      <c r="H227" s="990">
        <f>'[3]VLH - détail'!O235</f>
        <v>23353.024603679154</v>
      </c>
      <c r="I227" s="990">
        <f>'[3]VLH - détail'!P235</f>
        <v>106814.3407625977</v>
      </c>
      <c r="J227" s="990">
        <v>1</v>
      </c>
      <c r="K227" s="989">
        <v>7.4999999999999997E-2</v>
      </c>
      <c r="L227" s="989"/>
      <c r="M227" s="990" t="s">
        <v>511</v>
      </c>
      <c r="N227" s="990">
        <f t="shared" si="4"/>
        <v>2</v>
      </c>
      <c r="O227" s="734"/>
      <c r="P227" s="627"/>
    </row>
    <row r="228" spans="2:16" s="631" customFormat="1">
      <c r="B228" s="649">
        <v>221</v>
      </c>
      <c r="C228" s="649" t="s">
        <v>432</v>
      </c>
      <c r="D228" s="1041" t="s">
        <v>1716</v>
      </c>
      <c r="E228" s="995">
        <f>'[3]VLH - détail'!F236</f>
        <v>70059.073811037451</v>
      </c>
      <c r="F228" s="995"/>
      <c r="G228" s="990">
        <f>'[3]VLH - détail'!I236</f>
        <v>57.157189216235849</v>
      </c>
      <c r="H228" s="990">
        <f>'[3]VLH - détail'!O236</f>
        <v>70059.073811037451</v>
      </c>
      <c r="I228" s="990">
        <f>'[3]VLH - détail'!P236</f>
        <v>320443.02228779305</v>
      </c>
      <c r="J228" s="990">
        <v>1</v>
      </c>
      <c r="K228" s="989">
        <v>0.14899999999999999</v>
      </c>
      <c r="L228" s="989"/>
      <c r="M228" s="990" t="s">
        <v>511</v>
      </c>
      <c r="N228" s="990">
        <f t="shared" si="4"/>
        <v>2</v>
      </c>
      <c r="O228" s="734"/>
      <c r="P228" s="627"/>
    </row>
    <row r="229" spans="2:16" s="631" customFormat="1">
      <c r="B229" s="649">
        <v>222</v>
      </c>
      <c r="C229" s="649" t="s">
        <v>433</v>
      </c>
      <c r="D229" s="1041" t="s">
        <v>1604</v>
      </c>
      <c r="E229" s="995">
        <f>'[3]VLH - détail'!F237</f>
        <v>11676.512301839577</v>
      </c>
      <c r="F229" s="995"/>
      <c r="G229" s="990">
        <f>'[3]VLH - détail'!I237</f>
        <v>2.0556675805625511</v>
      </c>
      <c r="H229" s="990">
        <f>'[3]VLH - détail'!O237</f>
        <v>11676.512301839577</v>
      </c>
      <c r="I229" s="990">
        <f>'[3]VLH - détail'!P237</f>
        <v>53407.170381298849</v>
      </c>
      <c r="J229" s="990">
        <v>1</v>
      </c>
      <c r="K229" s="989">
        <v>9.1999999999999998E-2</v>
      </c>
      <c r="L229" s="989"/>
      <c r="M229" s="990" t="s">
        <v>511</v>
      </c>
      <c r="N229" s="990">
        <f t="shared" si="4"/>
        <v>2</v>
      </c>
      <c r="O229" s="734"/>
      <c r="P229" s="627"/>
    </row>
    <row r="230" spans="2:16" s="631" customFormat="1">
      <c r="B230" s="649">
        <v>223</v>
      </c>
      <c r="C230" s="649" t="s">
        <v>434</v>
      </c>
      <c r="D230" s="1041" t="s">
        <v>1711</v>
      </c>
      <c r="E230" s="995">
        <f>'[3]VLH - détail'!F238</f>
        <v>467.06049207358308</v>
      </c>
      <c r="F230" s="995"/>
      <c r="G230" s="990">
        <f>'[3]VLH - détail'!I238</f>
        <v>9.2135659169585424E-2</v>
      </c>
      <c r="H230" s="990">
        <f>'[3]VLH - détail'!O238</f>
        <v>467.06049207358308</v>
      </c>
      <c r="I230" s="990">
        <f>'[3]VLH - détail'!P238</f>
        <v>2136.2868152519541</v>
      </c>
      <c r="J230" s="990">
        <v>1</v>
      </c>
      <c r="K230" s="989">
        <v>2.8000000000000001E-2</v>
      </c>
      <c r="L230" s="989"/>
      <c r="M230" s="990" t="s">
        <v>511</v>
      </c>
      <c r="N230" s="990">
        <f t="shared" si="4"/>
        <v>2</v>
      </c>
      <c r="O230" s="734"/>
      <c r="P230" s="627"/>
    </row>
    <row r="231" spans="2:16" s="631" customFormat="1">
      <c r="B231" s="649">
        <v>224</v>
      </c>
      <c r="C231" s="649" t="s">
        <v>435</v>
      </c>
      <c r="D231" s="1041" t="s">
        <v>1756</v>
      </c>
      <c r="E231" s="995">
        <f>'[3]VLH - détail'!F239</f>
        <v>1167.6512301839575</v>
      </c>
      <c r="F231" s="995"/>
      <c r="G231" s="990">
        <f>'[3]VLH - détail'!I239</f>
        <v>2.6159931213813077</v>
      </c>
      <c r="H231" s="990">
        <f>'[3]VLH - détail'!O239</f>
        <v>1167.6512301839575</v>
      </c>
      <c r="I231" s="990">
        <f>'[3]VLH - détail'!P239</f>
        <v>5340.7170381298856</v>
      </c>
      <c r="J231" s="990">
        <v>1</v>
      </c>
      <c r="K231" s="989">
        <v>2.5739999999999998</v>
      </c>
      <c r="L231" s="989"/>
      <c r="M231" s="990" t="s">
        <v>511</v>
      </c>
      <c r="N231" s="990">
        <f t="shared" si="4"/>
        <v>2</v>
      </c>
      <c r="O231" s="734"/>
      <c r="P231" s="627"/>
    </row>
    <row r="232" spans="2:16" s="631" customFormat="1">
      <c r="B232" s="649">
        <v>225</v>
      </c>
      <c r="C232" s="649" t="s">
        <v>436</v>
      </c>
      <c r="D232" s="1041" t="s">
        <v>1786</v>
      </c>
      <c r="E232" s="995">
        <f>'[3]VLH - détail'!F240</f>
        <v>233.53024603679154</v>
      </c>
      <c r="F232" s="995"/>
      <c r="G232" s="990">
        <f>'[3]VLH - détail'!I240</f>
        <v>2.4061522130449368E-2</v>
      </c>
      <c r="H232" s="990">
        <f>'[3]VLH - détail'!O240</f>
        <v>233.53024603679154</v>
      </c>
      <c r="I232" s="990">
        <f>'[3]VLH - détail'!P240</f>
        <v>1068.143407625977</v>
      </c>
      <c r="J232" s="990">
        <v>1</v>
      </c>
      <c r="K232" s="989">
        <v>4.2999999999999997E-2</v>
      </c>
      <c r="L232" s="989"/>
      <c r="M232" s="990" t="s">
        <v>511</v>
      </c>
      <c r="N232" s="990">
        <f t="shared" si="4"/>
        <v>2</v>
      </c>
      <c r="O232" s="734"/>
      <c r="P232" s="627"/>
    </row>
    <row r="233" spans="2:16" s="631" customFormat="1" ht="45">
      <c r="B233" s="649">
        <v>226</v>
      </c>
      <c r="C233" s="649" t="s">
        <v>437</v>
      </c>
      <c r="D233" s="1041" t="s">
        <v>1573</v>
      </c>
      <c r="E233" s="1093" t="s">
        <v>506</v>
      </c>
      <c r="F233" s="1094"/>
      <c r="G233" s="1094"/>
      <c r="H233" s="1094"/>
      <c r="I233" s="1095"/>
      <c r="J233" s="990">
        <v>1</v>
      </c>
      <c r="K233" s="1003" t="s">
        <v>506</v>
      </c>
      <c r="L233" s="1024" t="s">
        <v>1422</v>
      </c>
      <c r="M233" s="990" t="s">
        <v>507</v>
      </c>
      <c r="N233" s="990">
        <f t="shared" si="4"/>
        <v>2</v>
      </c>
      <c r="O233" s="733"/>
      <c r="P233" s="625"/>
    </row>
    <row r="234" spans="2:16" s="631" customFormat="1" ht="45">
      <c r="B234" s="617">
        <v>227</v>
      </c>
      <c r="C234" s="617" t="s">
        <v>438</v>
      </c>
      <c r="D234" s="1041" t="s">
        <v>1626</v>
      </c>
      <c r="E234" s="1093" t="s">
        <v>506</v>
      </c>
      <c r="F234" s="1094"/>
      <c r="G234" s="1094"/>
      <c r="H234" s="1094"/>
      <c r="I234" s="1095"/>
      <c r="J234" s="990">
        <v>1</v>
      </c>
      <c r="K234" s="1003" t="s">
        <v>506</v>
      </c>
      <c r="L234" s="1024" t="s">
        <v>1422</v>
      </c>
      <c r="M234" s="990" t="s">
        <v>507</v>
      </c>
      <c r="N234" s="990">
        <f t="shared" si="4"/>
        <v>2</v>
      </c>
      <c r="O234" s="733"/>
      <c r="P234" s="625"/>
    </row>
    <row r="235" spans="2:16" s="631" customFormat="1" ht="45">
      <c r="B235" s="617">
        <v>228</v>
      </c>
      <c r="C235" s="617" t="s">
        <v>440</v>
      </c>
      <c r="D235" s="1041" t="s">
        <v>1633</v>
      </c>
      <c r="E235" s="1093" t="s">
        <v>506</v>
      </c>
      <c r="F235" s="1094"/>
      <c r="G235" s="1094"/>
      <c r="H235" s="1094"/>
      <c r="I235" s="1095"/>
      <c r="J235" s="990">
        <v>1</v>
      </c>
      <c r="K235" s="1003" t="s">
        <v>506</v>
      </c>
      <c r="L235" s="1024" t="s">
        <v>1422</v>
      </c>
      <c r="M235" s="990" t="s">
        <v>507</v>
      </c>
      <c r="N235" s="990">
        <f t="shared" si="4"/>
        <v>2</v>
      </c>
      <c r="O235" s="733"/>
      <c r="P235" s="625"/>
    </row>
    <row r="236" spans="2:16" s="631" customFormat="1" ht="45">
      <c r="B236" s="617">
        <v>229</v>
      </c>
      <c r="C236" s="617" t="s">
        <v>441</v>
      </c>
      <c r="D236" s="1041" t="s">
        <v>1762</v>
      </c>
      <c r="E236" s="1093" t="s">
        <v>506</v>
      </c>
      <c r="F236" s="1094"/>
      <c r="G236" s="1094"/>
      <c r="H236" s="1094"/>
      <c r="I236" s="1095"/>
      <c r="J236" s="990">
        <v>1</v>
      </c>
      <c r="K236" s="1003" t="s">
        <v>506</v>
      </c>
      <c r="L236" s="1024" t="s">
        <v>1422</v>
      </c>
      <c r="M236" s="990" t="s">
        <v>507</v>
      </c>
      <c r="N236" s="990">
        <f t="shared" si="4"/>
        <v>2</v>
      </c>
      <c r="O236" s="733"/>
      <c r="P236" s="625"/>
    </row>
    <row r="237" spans="2:16" s="631" customFormat="1" ht="45">
      <c r="B237" s="617">
        <v>230</v>
      </c>
      <c r="C237" s="617" t="s">
        <v>442</v>
      </c>
      <c r="D237" s="1041" t="s">
        <v>1666</v>
      </c>
      <c r="E237" s="1093" t="s">
        <v>506</v>
      </c>
      <c r="F237" s="1094"/>
      <c r="G237" s="1094"/>
      <c r="H237" s="1094"/>
      <c r="I237" s="1095"/>
      <c r="J237" s="990">
        <v>1</v>
      </c>
      <c r="K237" s="1003" t="s">
        <v>506</v>
      </c>
      <c r="L237" s="1024" t="s">
        <v>1422</v>
      </c>
      <c r="M237" s="990" t="s">
        <v>507</v>
      </c>
      <c r="N237" s="990">
        <f t="shared" si="4"/>
        <v>2</v>
      </c>
      <c r="O237" s="733"/>
      <c r="P237" s="625"/>
    </row>
    <row r="238" spans="2:16" s="631" customFormat="1" ht="45">
      <c r="B238" s="617">
        <v>231</v>
      </c>
      <c r="C238" s="617" t="s">
        <v>443</v>
      </c>
      <c r="D238" s="1041" t="s">
        <v>1669</v>
      </c>
      <c r="E238" s="1093" t="s">
        <v>506</v>
      </c>
      <c r="F238" s="1094"/>
      <c r="G238" s="1094"/>
      <c r="H238" s="1094"/>
      <c r="I238" s="1095"/>
      <c r="J238" s="990">
        <v>1</v>
      </c>
      <c r="K238" s="1003" t="s">
        <v>506</v>
      </c>
      <c r="L238" s="1024" t="s">
        <v>1422</v>
      </c>
      <c r="M238" s="990" t="s">
        <v>507</v>
      </c>
      <c r="N238" s="990">
        <f t="shared" si="4"/>
        <v>2</v>
      </c>
      <c r="O238" s="733"/>
      <c r="P238" s="625"/>
    </row>
    <row r="239" spans="2:16" s="631" customFormat="1" ht="45">
      <c r="B239" s="617">
        <v>232</v>
      </c>
      <c r="C239" s="617" t="s">
        <v>444</v>
      </c>
      <c r="D239" s="1041" t="s">
        <v>1729</v>
      </c>
      <c r="E239" s="1093" t="s">
        <v>506</v>
      </c>
      <c r="F239" s="1094"/>
      <c r="G239" s="1094"/>
      <c r="H239" s="1094"/>
      <c r="I239" s="1095"/>
      <c r="J239" s="990">
        <v>1</v>
      </c>
      <c r="K239" s="1003" t="s">
        <v>506</v>
      </c>
      <c r="L239" s="1024" t="s">
        <v>1422</v>
      </c>
      <c r="M239" s="990" t="s">
        <v>507</v>
      </c>
      <c r="N239" s="990">
        <f t="shared" si="4"/>
        <v>2</v>
      </c>
      <c r="O239" s="733"/>
      <c r="P239" s="625"/>
    </row>
    <row r="240" spans="2:16" s="631" customFormat="1" ht="45">
      <c r="B240" s="617">
        <v>233</v>
      </c>
      <c r="C240" s="617" t="s">
        <v>445</v>
      </c>
      <c r="D240" s="1041" t="s">
        <v>1741</v>
      </c>
      <c r="E240" s="1093" t="s">
        <v>506</v>
      </c>
      <c r="F240" s="1094"/>
      <c r="G240" s="1094"/>
      <c r="H240" s="1094"/>
      <c r="I240" s="1095"/>
      <c r="J240" s="990">
        <v>1</v>
      </c>
      <c r="K240" s="1003" t="s">
        <v>506</v>
      </c>
      <c r="L240" s="1024" t="s">
        <v>1422</v>
      </c>
      <c r="M240" s="990" t="s">
        <v>507</v>
      </c>
      <c r="N240" s="990">
        <f t="shared" si="4"/>
        <v>2</v>
      </c>
      <c r="O240" s="733"/>
      <c r="P240" s="625"/>
    </row>
    <row r="241" spans="2:16" s="631" customFormat="1" ht="45" customHeight="1">
      <c r="B241" s="617">
        <v>234</v>
      </c>
      <c r="C241" s="617" t="s">
        <v>446</v>
      </c>
      <c r="D241" s="1041" t="s">
        <v>1764</v>
      </c>
      <c r="E241" s="1093" t="s">
        <v>506</v>
      </c>
      <c r="F241" s="1094"/>
      <c r="G241" s="1094"/>
      <c r="H241" s="1094"/>
      <c r="I241" s="1095"/>
      <c r="J241" s="990" t="s">
        <v>506</v>
      </c>
      <c r="K241" s="989" t="s">
        <v>506</v>
      </c>
      <c r="L241" s="1024" t="s">
        <v>1379</v>
      </c>
      <c r="M241" s="990" t="s">
        <v>507</v>
      </c>
      <c r="N241" s="990" t="s">
        <v>506</v>
      </c>
      <c r="O241" s="733"/>
      <c r="P241" s="625"/>
    </row>
    <row r="242" spans="2:16" s="631" customFormat="1" ht="45" customHeight="1">
      <c r="B242" s="617">
        <v>235</v>
      </c>
      <c r="C242" s="617" t="s">
        <v>447</v>
      </c>
      <c r="D242" s="1041" t="s">
        <v>1783</v>
      </c>
      <c r="E242" s="1093" t="s">
        <v>506</v>
      </c>
      <c r="F242" s="1094"/>
      <c r="G242" s="1094"/>
      <c r="H242" s="1094"/>
      <c r="I242" s="1095"/>
      <c r="J242" s="990" t="s">
        <v>506</v>
      </c>
      <c r="K242" s="989" t="s">
        <v>506</v>
      </c>
      <c r="L242" s="1024" t="s">
        <v>1379</v>
      </c>
      <c r="M242" s="990" t="s">
        <v>507</v>
      </c>
      <c r="N242" s="990" t="s">
        <v>506</v>
      </c>
      <c r="O242" s="733" t="s">
        <v>538</v>
      </c>
      <c r="P242" s="625"/>
    </row>
    <row r="243" spans="2:16" s="631" customFormat="1" ht="45">
      <c r="B243" s="617">
        <v>237</v>
      </c>
      <c r="C243" s="617" t="s">
        <v>448</v>
      </c>
      <c r="D243" s="1041" t="s">
        <v>1671</v>
      </c>
      <c r="E243" s="995">
        <f>'[3]VLH - détail'!F252</f>
        <v>107012.7638395111</v>
      </c>
      <c r="F243" s="995"/>
      <c r="G243" s="990">
        <f>'[3]VLH - détail'!I252</f>
        <v>1298.6077398526363</v>
      </c>
      <c r="H243" s="990">
        <f>'[3]VLH - détail'!O252</f>
        <v>5490.3710439576207</v>
      </c>
      <c r="I243" s="990">
        <f>'[3]VLH - détail'!P252</f>
        <v>5490.3710439576207</v>
      </c>
      <c r="J243" s="990">
        <f>'[3]VLnappe - détail'!R243</f>
        <v>40000</v>
      </c>
      <c r="K243" s="1003" t="s">
        <v>506</v>
      </c>
      <c r="L243" s="1024" t="s">
        <v>1422</v>
      </c>
      <c r="M243" s="990" t="s">
        <v>541</v>
      </c>
      <c r="N243" s="990">
        <f>J243*2</f>
        <v>80000</v>
      </c>
      <c r="O243" s="733"/>
      <c r="P243" s="625"/>
    </row>
    <row r="244" spans="2:16" s="631" customFormat="1">
      <c r="B244" s="617">
        <v>238</v>
      </c>
      <c r="C244" s="617" t="s">
        <v>1399</v>
      </c>
      <c r="D244" s="1015" t="s">
        <v>1645</v>
      </c>
      <c r="E244" s="995">
        <f>'VL - détail VLH (Risc Human)'!F245</f>
        <v>467.06049207358308</v>
      </c>
      <c r="F244" s="995"/>
      <c r="G244" s="990">
        <f>'VL - détail VLH (Risc Human)'!I245</f>
        <v>0.25491396117994902</v>
      </c>
      <c r="H244" s="990">
        <f>'VL - détail VLH (Risc Human)'!O245</f>
        <v>467.06049207358308</v>
      </c>
      <c r="I244" s="990">
        <f>'VL - détail VLH (Risc Human)'!P245</f>
        <v>2136.2868152519541</v>
      </c>
      <c r="J244" s="990">
        <f>'VL - détail VLnappe'!R243</f>
        <v>35</v>
      </c>
      <c r="K244" s="1032">
        <v>1.1464000000000001</v>
      </c>
      <c r="L244" s="989"/>
      <c r="M244" s="990" t="s">
        <v>1807</v>
      </c>
      <c r="N244" s="990">
        <f>J244*2</f>
        <v>70</v>
      </c>
      <c r="O244" s="733"/>
      <c r="P244" s="625"/>
    </row>
    <row r="245" spans="2:16" s="631" customFormat="1" ht="45" customHeight="1">
      <c r="B245" s="617">
        <v>239</v>
      </c>
      <c r="C245" s="617" t="s">
        <v>1400</v>
      </c>
      <c r="D245" s="1014" t="s">
        <v>1638</v>
      </c>
      <c r="E245" s="1105" t="s">
        <v>506</v>
      </c>
      <c r="F245" s="1105"/>
      <c r="G245" s="1105"/>
      <c r="H245" s="1105"/>
      <c r="I245" s="1105"/>
      <c r="J245" s="990" t="s">
        <v>506</v>
      </c>
      <c r="K245" s="990" t="s">
        <v>506</v>
      </c>
      <c r="L245" s="1024" t="s">
        <v>1379</v>
      </c>
      <c r="M245" s="990" t="s">
        <v>507</v>
      </c>
      <c r="N245" s="990" t="s">
        <v>506</v>
      </c>
      <c r="O245" s="763" t="s">
        <v>1423</v>
      </c>
      <c r="P245" s="625"/>
    </row>
    <row r="246" spans="2:16" s="631" customFormat="1" ht="45">
      <c r="B246" s="617">
        <v>240</v>
      </c>
      <c r="C246" s="617" t="s">
        <v>1401</v>
      </c>
      <c r="D246" s="1014" t="s">
        <v>1706</v>
      </c>
      <c r="E246" s="1105" t="s">
        <v>506</v>
      </c>
      <c r="F246" s="1105"/>
      <c r="G246" s="1105"/>
      <c r="H246" s="1105"/>
      <c r="I246" s="1105"/>
      <c r="J246" s="990" t="s">
        <v>506</v>
      </c>
      <c r="K246" s="990" t="s">
        <v>506</v>
      </c>
      <c r="L246" s="1024" t="s">
        <v>1379</v>
      </c>
      <c r="M246" s="990" t="s">
        <v>507</v>
      </c>
      <c r="N246" s="990" t="s">
        <v>506</v>
      </c>
      <c r="O246" s="763" t="s">
        <v>1423</v>
      </c>
      <c r="P246" s="625"/>
    </row>
    <row r="247" spans="2:16" s="631" customFormat="1">
      <c r="B247" s="617">
        <v>241</v>
      </c>
      <c r="C247" s="617" t="s">
        <v>1402</v>
      </c>
      <c r="D247" s="1014" t="s">
        <v>1434</v>
      </c>
      <c r="E247" s="995">
        <f>'VL - détail VLH (Risc Human)'!F248</f>
        <v>12.417182227402934</v>
      </c>
      <c r="F247" s="995"/>
      <c r="G247" s="995">
        <f>'VL - détail VLH (Risc Human)'!I248</f>
        <v>1.1052830069966652E-2</v>
      </c>
      <c r="H247" s="995">
        <f>'VL - détail VLH (Risc Human)'!O248</f>
        <v>1.7122100932471176</v>
      </c>
      <c r="I247" s="995">
        <f>'VL - détail VLH (Risc Human)'!P248</f>
        <v>0.53570952256794679</v>
      </c>
      <c r="J247" s="990">
        <f>'VL - détail VLnappe'!R246</f>
        <v>4.7</v>
      </c>
      <c r="K247" s="1032">
        <v>3.8600000000000002E-2</v>
      </c>
      <c r="L247" s="989"/>
      <c r="M247" s="990" t="s">
        <v>1807</v>
      </c>
      <c r="N247" s="990">
        <f>J247*2</f>
        <v>9.4</v>
      </c>
      <c r="O247" s="733"/>
      <c r="P247" s="625"/>
    </row>
    <row r="248" spans="2:16" s="631" customFormat="1" ht="45">
      <c r="B248" s="617">
        <v>242</v>
      </c>
      <c r="C248" s="617" t="s">
        <v>1403</v>
      </c>
      <c r="D248" s="1014" t="s">
        <v>1677</v>
      </c>
      <c r="E248" s="1105" t="s">
        <v>506</v>
      </c>
      <c r="F248" s="1105"/>
      <c r="G248" s="1105"/>
      <c r="H248" s="1105"/>
      <c r="I248" s="1105"/>
      <c r="J248" s="990" t="s">
        <v>506</v>
      </c>
      <c r="K248" s="990" t="s">
        <v>506</v>
      </c>
      <c r="L248" s="1024" t="s">
        <v>1379</v>
      </c>
      <c r="M248" s="990" t="s">
        <v>541</v>
      </c>
      <c r="N248" s="990" t="s">
        <v>506</v>
      </c>
      <c r="O248" s="733" t="s">
        <v>538</v>
      </c>
      <c r="P248" s="625"/>
    </row>
    <row r="249" spans="2:16" s="631" customFormat="1" ht="45">
      <c r="B249" s="617">
        <v>243</v>
      </c>
      <c r="C249" s="617" t="s">
        <v>1424</v>
      </c>
      <c r="D249" s="1015" t="s">
        <v>1502</v>
      </c>
      <c r="E249" s="1093" t="s">
        <v>506</v>
      </c>
      <c r="F249" s="1094"/>
      <c r="G249" s="1094"/>
      <c r="H249" s="1094"/>
      <c r="I249" s="1095"/>
      <c r="J249" s="990" t="s">
        <v>506</v>
      </c>
      <c r="K249" s="990" t="s">
        <v>506</v>
      </c>
      <c r="L249" s="1024" t="s">
        <v>1379</v>
      </c>
      <c r="M249" s="990" t="s">
        <v>507</v>
      </c>
      <c r="N249" s="990" t="s">
        <v>506</v>
      </c>
      <c r="O249" s="734" t="s">
        <v>536</v>
      </c>
      <c r="P249" s="625"/>
    </row>
    <row r="250" spans="2:16" s="631" customFormat="1" ht="45">
      <c r="B250" s="617">
        <v>244</v>
      </c>
      <c r="C250" s="617" t="s">
        <v>1435</v>
      </c>
      <c r="D250" s="1041" t="s">
        <v>1444</v>
      </c>
      <c r="E250" s="1093" t="s">
        <v>506</v>
      </c>
      <c r="F250" s="1094"/>
      <c r="G250" s="1094"/>
      <c r="H250" s="1094"/>
      <c r="I250" s="1095"/>
      <c r="J250" s="990" t="s">
        <v>506</v>
      </c>
      <c r="K250" s="990" t="s">
        <v>506</v>
      </c>
      <c r="L250" s="1024" t="s">
        <v>1379</v>
      </c>
      <c r="M250" s="990" t="s">
        <v>507</v>
      </c>
      <c r="N250" s="990" t="s">
        <v>506</v>
      </c>
      <c r="O250" s="733"/>
      <c r="P250" s="625"/>
    </row>
    <row r="251" spans="2:16" s="631" customFormat="1" ht="45">
      <c r="B251" s="617">
        <v>245</v>
      </c>
      <c r="C251" s="617" t="s">
        <v>1436</v>
      </c>
      <c r="D251" s="1041" t="s">
        <v>1485</v>
      </c>
      <c r="E251" s="1093" t="s">
        <v>506</v>
      </c>
      <c r="F251" s="1094"/>
      <c r="G251" s="1094"/>
      <c r="H251" s="1094"/>
      <c r="I251" s="1095"/>
      <c r="J251" s="990" t="s">
        <v>506</v>
      </c>
      <c r="K251" s="990" t="s">
        <v>506</v>
      </c>
      <c r="L251" s="1024" t="s">
        <v>1379</v>
      </c>
      <c r="M251" s="990" t="s">
        <v>507</v>
      </c>
      <c r="N251" s="990" t="s">
        <v>506</v>
      </c>
      <c r="O251" s="733"/>
      <c r="P251" s="625"/>
    </row>
    <row r="252" spans="2:16" s="631" customFormat="1" ht="45">
      <c r="B252" s="617">
        <v>246</v>
      </c>
      <c r="C252" s="617" t="s">
        <v>1437</v>
      </c>
      <c r="D252" s="1041" t="s">
        <v>1530</v>
      </c>
      <c r="E252" s="1093" t="s">
        <v>506</v>
      </c>
      <c r="F252" s="1094"/>
      <c r="G252" s="1094"/>
      <c r="H252" s="1094"/>
      <c r="I252" s="1095"/>
      <c r="J252" s="990" t="s">
        <v>506</v>
      </c>
      <c r="K252" s="990" t="s">
        <v>506</v>
      </c>
      <c r="L252" s="1024" t="s">
        <v>1379</v>
      </c>
      <c r="M252" s="990" t="s">
        <v>507</v>
      </c>
      <c r="N252" s="990" t="s">
        <v>506</v>
      </c>
      <c r="O252" s="733"/>
      <c r="P252" s="625"/>
    </row>
    <row r="253" spans="2:16" s="631" customFormat="1" ht="45">
      <c r="B253" s="617">
        <v>247</v>
      </c>
      <c r="C253" s="617" t="s">
        <v>1438</v>
      </c>
      <c r="D253" s="1041" t="s">
        <v>1473</v>
      </c>
      <c r="E253" s="1093" t="s">
        <v>506</v>
      </c>
      <c r="F253" s="1094"/>
      <c r="G253" s="1094"/>
      <c r="H253" s="1094"/>
      <c r="I253" s="1095"/>
      <c r="J253" s="990" t="s">
        <v>506</v>
      </c>
      <c r="K253" s="990" t="s">
        <v>506</v>
      </c>
      <c r="L253" s="1024" t="s">
        <v>1379</v>
      </c>
      <c r="M253" s="990" t="s">
        <v>507</v>
      </c>
      <c r="N253" s="990" t="s">
        <v>506</v>
      </c>
      <c r="O253" s="733"/>
      <c r="P253" s="625"/>
    </row>
    <row r="254" spans="2:16" s="631" customFormat="1" ht="45">
      <c r="B254" s="617">
        <v>248</v>
      </c>
      <c r="C254" s="617" t="s">
        <v>1439</v>
      </c>
      <c r="D254" s="1041" t="s">
        <v>1446</v>
      </c>
      <c r="E254" s="1093" t="s">
        <v>506</v>
      </c>
      <c r="F254" s="1094"/>
      <c r="G254" s="1094"/>
      <c r="H254" s="1094"/>
      <c r="I254" s="1095"/>
      <c r="J254" s="990" t="s">
        <v>506</v>
      </c>
      <c r="K254" s="990" t="s">
        <v>506</v>
      </c>
      <c r="L254" s="1024" t="s">
        <v>1379</v>
      </c>
      <c r="M254" s="990" t="s">
        <v>507</v>
      </c>
      <c r="N254" s="990" t="s">
        <v>506</v>
      </c>
      <c r="O254" s="733"/>
      <c r="P254" s="625"/>
    </row>
    <row r="255" spans="2:16" s="631" customFormat="1" ht="45">
      <c r="B255" s="617">
        <v>249</v>
      </c>
      <c r="C255" s="617" t="s">
        <v>1440</v>
      </c>
      <c r="D255" s="1041" t="s">
        <v>1448</v>
      </c>
      <c r="E255" s="1093" t="s">
        <v>506</v>
      </c>
      <c r="F255" s="1094"/>
      <c r="G255" s="1094"/>
      <c r="H255" s="1094"/>
      <c r="I255" s="1095"/>
      <c r="J255" s="990" t="s">
        <v>506</v>
      </c>
      <c r="K255" s="990" t="s">
        <v>506</v>
      </c>
      <c r="L255" s="1024" t="s">
        <v>1379</v>
      </c>
      <c r="M255" s="990" t="s">
        <v>507</v>
      </c>
      <c r="N255" s="990" t="s">
        <v>506</v>
      </c>
      <c r="O255" s="733"/>
      <c r="P255" s="625"/>
    </row>
    <row r="256" spans="2:16" s="631" customFormat="1" ht="45">
      <c r="B256" s="617">
        <v>250</v>
      </c>
      <c r="C256" s="617" t="s">
        <v>1441</v>
      </c>
      <c r="D256" s="1041" t="s">
        <v>1534</v>
      </c>
      <c r="E256" s="1093" t="s">
        <v>506</v>
      </c>
      <c r="F256" s="1094"/>
      <c r="G256" s="1094"/>
      <c r="H256" s="1094"/>
      <c r="I256" s="1095"/>
      <c r="J256" s="990" t="s">
        <v>506</v>
      </c>
      <c r="K256" s="990" t="s">
        <v>506</v>
      </c>
      <c r="L256" s="1024" t="s">
        <v>1379</v>
      </c>
      <c r="M256" s="990" t="s">
        <v>507</v>
      </c>
      <c r="N256" s="990" t="s">
        <v>506</v>
      </c>
      <c r="O256" s="733"/>
      <c r="P256" s="625"/>
    </row>
    <row r="257" spans="2:16" s="631" customFormat="1" ht="45">
      <c r="B257" s="617">
        <v>251</v>
      </c>
      <c r="C257" s="617" t="s">
        <v>1442</v>
      </c>
      <c r="D257" s="1041" t="s">
        <v>1524</v>
      </c>
      <c r="E257" s="1093" t="s">
        <v>506</v>
      </c>
      <c r="F257" s="1094"/>
      <c r="G257" s="1094"/>
      <c r="H257" s="1094"/>
      <c r="I257" s="1095"/>
      <c r="J257" s="990" t="s">
        <v>506</v>
      </c>
      <c r="K257" s="990" t="s">
        <v>506</v>
      </c>
      <c r="L257" s="1024" t="s">
        <v>1379</v>
      </c>
      <c r="M257" s="990" t="s">
        <v>507</v>
      </c>
      <c r="N257" s="990" t="s">
        <v>506</v>
      </c>
      <c r="O257" s="733"/>
      <c r="P257" s="625"/>
    </row>
    <row r="258" spans="2:16" s="631" customFormat="1" ht="45">
      <c r="B258" s="617">
        <v>252</v>
      </c>
      <c r="C258" s="617" t="s">
        <v>1443</v>
      </c>
      <c r="D258" s="1041" t="s">
        <v>1447</v>
      </c>
      <c r="E258" s="1093" t="s">
        <v>506</v>
      </c>
      <c r="F258" s="1094"/>
      <c r="G258" s="1094"/>
      <c r="H258" s="1094"/>
      <c r="I258" s="1095"/>
      <c r="J258" s="990" t="s">
        <v>506</v>
      </c>
      <c r="K258" s="990" t="s">
        <v>506</v>
      </c>
      <c r="L258" s="1024" t="s">
        <v>1379</v>
      </c>
      <c r="M258" s="990" t="s">
        <v>507</v>
      </c>
      <c r="N258" s="990" t="s">
        <v>506</v>
      </c>
      <c r="O258" s="733" t="s">
        <v>1449</v>
      </c>
      <c r="P258" s="625"/>
    </row>
    <row r="259" spans="2:16" s="631" customFormat="1" ht="60">
      <c r="B259" s="649">
        <v>253</v>
      </c>
      <c r="C259" s="649" t="s">
        <v>1450</v>
      </c>
      <c r="D259" s="748" t="s">
        <v>1451</v>
      </c>
      <c r="E259" s="1093" t="s">
        <v>506</v>
      </c>
      <c r="F259" s="1094"/>
      <c r="G259" s="1094"/>
      <c r="H259" s="1094"/>
      <c r="I259" s="1095"/>
      <c r="J259" s="990">
        <v>1500</v>
      </c>
      <c r="K259" s="990" t="s">
        <v>506</v>
      </c>
      <c r="L259" s="1024" t="s">
        <v>1422</v>
      </c>
      <c r="M259" s="990" t="s">
        <v>507</v>
      </c>
      <c r="N259" s="990">
        <f>J259*2</f>
        <v>3000</v>
      </c>
      <c r="O259" s="733" t="s">
        <v>1452</v>
      </c>
      <c r="P259" s="625"/>
    </row>
    <row r="260" spans="2:16" s="631" customFormat="1">
      <c r="B260" s="617">
        <v>254</v>
      </c>
      <c r="C260" s="732" t="s">
        <v>1798</v>
      </c>
      <c r="D260" s="750" t="s">
        <v>1802</v>
      </c>
      <c r="E260" s="1017">
        <v>21000</v>
      </c>
      <c r="F260" s="1017">
        <v>2.629</v>
      </c>
      <c r="G260" s="1017">
        <v>2.6509999999999998</v>
      </c>
      <c r="H260" s="1017">
        <v>30.61</v>
      </c>
      <c r="I260" s="1017">
        <v>31.13</v>
      </c>
      <c r="J260" s="990" t="s">
        <v>1807</v>
      </c>
      <c r="K260" s="990" t="s">
        <v>1807</v>
      </c>
      <c r="L260" s="989"/>
      <c r="M260" s="990">
        <v>394.7</v>
      </c>
      <c r="N260" s="990" t="s">
        <v>1807</v>
      </c>
      <c r="O260" s="733"/>
      <c r="P260" s="625"/>
    </row>
    <row r="261" spans="2:16" s="631" customFormat="1">
      <c r="B261" s="617">
        <v>255</v>
      </c>
      <c r="C261" s="732" t="s">
        <v>1799</v>
      </c>
      <c r="D261" s="750" t="s">
        <v>1803</v>
      </c>
      <c r="E261" s="1017">
        <v>1000000</v>
      </c>
      <c r="F261" s="1017">
        <v>1.026</v>
      </c>
      <c r="G261" s="1017">
        <v>1.026</v>
      </c>
      <c r="H261" s="1017">
        <v>11.61</v>
      </c>
      <c r="I261" s="1017">
        <v>11.9</v>
      </c>
      <c r="J261" s="990" t="s">
        <v>1807</v>
      </c>
      <c r="K261" s="990" t="s">
        <v>1807</v>
      </c>
      <c r="L261" s="989"/>
      <c r="M261" s="990">
        <v>39.369999999999997</v>
      </c>
      <c r="N261" s="990" t="s">
        <v>1807</v>
      </c>
      <c r="O261" s="733"/>
      <c r="P261" s="625"/>
    </row>
    <row r="262" spans="2:16" s="631" customFormat="1">
      <c r="B262" s="617">
        <v>256</v>
      </c>
      <c r="C262" s="732" t="s">
        <v>1800</v>
      </c>
      <c r="D262" s="750" t="s">
        <v>1804</v>
      </c>
      <c r="E262" s="1017">
        <v>12020</v>
      </c>
      <c r="F262" s="1017">
        <v>3.0510000000000002</v>
      </c>
      <c r="G262" s="1017">
        <v>3.0569999999999999</v>
      </c>
      <c r="H262" s="1017">
        <v>34.68</v>
      </c>
      <c r="I262" s="1017">
        <v>35.53</v>
      </c>
      <c r="J262" s="990" t="s">
        <v>1807</v>
      </c>
      <c r="K262" s="990" t="s">
        <v>1807</v>
      </c>
      <c r="L262" s="989"/>
      <c r="M262" s="990">
        <v>0.73870000000000002</v>
      </c>
      <c r="N262" s="990" t="s">
        <v>1807</v>
      </c>
      <c r="O262" s="733"/>
      <c r="P262" s="625"/>
    </row>
    <row r="263" spans="2:16" s="631" customFormat="1">
      <c r="B263" s="617">
        <v>257</v>
      </c>
      <c r="C263" s="732" t="s">
        <v>1801</v>
      </c>
      <c r="D263" s="750" t="s">
        <v>1805</v>
      </c>
      <c r="E263" s="1017">
        <v>1000000</v>
      </c>
      <c r="F263" s="1017">
        <v>1.4850000000000001</v>
      </c>
      <c r="G263" s="1017">
        <v>1.4850000000000001</v>
      </c>
      <c r="H263" s="1017">
        <v>16.809999999999999</v>
      </c>
      <c r="I263" s="1017">
        <v>17.23</v>
      </c>
      <c r="J263" s="990" t="s">
        <v>1807</v>
      </c>
      <c r="K263" s="990" t="s">
        <v>1807</v>
      </c>
      <c r="L263" s="989"/>
      <c r="M263" s="990">
        <v>25.96</v>
      </c>
      <c r="N263" s="990" t="s">
        <v>1807</v>
      </c>
      <c r="O263" s="733"/>
      <c r="P263" s="625"/>
    </row>
    <row r="264" spans="2:16" s="631" customFormat="1">
      <c r="B264" s="617">
        <v>258</v>
      </c>
      <c r="C264" s="624" t="s">
        <v>1899</v>
      </c>
      <c r="D264" s="853" t="s">
        <v>1898</v>
      </c>
      <c r="E264" s="987">
        <v>1341</v>
      </c>
      <c r="F264" s="987">
        <v>7.1219999999999999</v>
      </c>
      <c r="G264" s="987">
        <v>15.01</v>
      </c>
      <c r="H264" s="995">
        <v>1341</v>
      </c>
      <c r="I264" s="995">
        <v>10910</v>
      </c>
      <c r="J264" s="1033">
        <v>770</v>
      </c>
      <c r="K264" s="1034">
        <v>145.01740909086467</v>
      </c>
      <c r="L264" s="990"/>
      <c r="M264" s="990">
        <v>4223000</v>
      </c>
      <c r="N264" s="990">
        <f>J264*2</f>
        <v>1540</v>
      </c>
      <c r="O264" s="733"/>
      <c r="P264" s="659"/>
    </row>
    <row r="265" spans="2:16" s="631" customFormat="1">
      <c r="B265" s="617">
        <v>259</v>
      </c>
      <c r="C265" s="622" t="s">
        <v>1918</v>
      </c>
      <c r="D265" s="762" t="s">
        <v>1922</v>
      </c>
      <c r="E265" s="987">
        <v>222.5</v>
      </c>
      <c r="F265" s="987">
        <v>0.13850000000000001</v>
      </c>
      <c r="G265" s="987">
        <v>0.16869999999999999</v>
      </c>
      <c r="H265" s="990">
        <v>2.2679999999999998</v>
      </c>
      <c r="I265" s="990">
        <v>2.2679999999999998</v>
      </c>
      <c r="J265" s="1033">
        <v>0.33</v>
      </c>
      <c r="K265" s="1034">
        <v>1.3766121339975586</v>
      </c>
      <c r="L265" s="990"/>
      <c r="M265" s="990">
        <v>344.6</v>
      </c>
      <c r="N265" s="990">
        <f>J265*2</f>
        <v>0.66</v>
      </c>
      <c r="O265" s="733"/>
      <c r="P265" s="731"/>
    </row>
    <row r="266" spans="2:16" s="631" customFormat="1" ht="45">
      <c r="B266" s="617">
        <v>260</v>
      </c>
      <c r="C266" s="622" t="s">
        <v>1919</v>
      </c>
      <c r="D266" s="762" t="s">
        <v>1924</v>
      </c>
      <c r="E266" s="1093" t="s">
        <v>506</v>
      </c>
      <c r="F266" s="1094"/>
      <c r="G266" s="1094"/>
      <c r="H266" s="1094"/>
      <c r="I266" s="1095"/>
      <c r="J266" s="990" t="s">
        <v>506</v>
      </c>
      <c r="K266" s="990" t="s">
        <v>506</v>
      </c>
      <c r="L266" s="1024" t="s">
        <v>1379</v>
      </c>
      <c r="M266" s="990" t="s">
        <v>507</v>
      </c>
      <c r="N266" s="990" t="s">
        <v>506</v>
      </c>
      <c r="O266" s="763"/>
      <c r="P266" s="635"/>
    </row>
    <row r="267" spans="2:16" s="631" customFormat="1">
      <c r="B267" s="617">
        <v>261</v>
      </c>
      <c r="C267" s="622" t="s">
        <v>1925</v>
      </c>
      <c r="D267" s="762" t="s">
        <v>1951</v>
      </c>
      <c r="E267" s="987">
        <v>168100</v>
      </c>
      <c r="F267" s="987">
        <v>115.8</v>
      </c>
      <c r="G267" s="987">
        <v>180.8</v>
      </c>
      <c r="H267" s="1017">
        <v>168100</v>
      </c>
      <c r="I267" s="987">
        <v>1000000</v>
      </c>
      <c r="J267" s="1033">
        <v>3000</v>
      </c>
      <c r="K267" s="1034">
        <v>35.842826462209601</v>
      </c>
      <c r="L267" s="993"/>
      <c r="M267" s="993">
        <v>15340000</v>
      </c>
      <c r="N267" s="993">
        <f>J267*2</f>
        <v>6000</v>
      </c>
      <c r="O267" s="763"/>
      <c r="P267" s="635"/>
    </row>
    <row r="268" spans="2:16" s="631" customFormat="1" ht="90">
      <c r="B268" s="617">
        <v>262</v>
      </c>
      <c r="C268" s="622" t="s">
        <v>1927</v>
      </c>
      <c r="D268" s="762" t="s">
        <v>1926</v>
      </c>
      <c r="E268" s="1093" t="s">
        <v>506</v>
      </c>
      <c r="F268" s="1094"/>
      <c r="G268" s="1094"/>
      <c r="H268" s="1094"/>
      <c r="I268" s="1095"/>
      <c r="J268" s="990" t="s">
        <v>506</v>
      </c>
      <c r="K268" s="990" t="s">
        <v>506</v>
      </c>
      <c r="L268" s="1024" t="s">
        <v>1379</v>
      </c>
      <c r="M268" s="990" t="s">
        <v>507</v>
      </c>
      <c r="N268" s="990" t="s">
        <v>506</v>
      </c>
      <c r="O268" s="763" t="s">
        <v>2361</v>
      </c>
      <c r="P268" s="635"/>
    </row>
    <row r="269" spans="2:16" s="631" customFormat="1" ht="135">
      <c r="B269" s="617">
        <v>263</v>
      </c>
      <c r="C269" s="622" t="s">
        <v>1929</v>
      </c>
      <c r="D269" s="762" t="s">
        <v>1928</v>
      </c>
      <c r="E269" s="1093" t="s">
        <v>506</v>
      </c>
      <c r="F269" s="1094"/>
      <c r="G269" s="1094"/>
      <c r="H269" s="1094"/>
      <c r="I269" s="1095"/>
      <c r="J269" s="990" t="s">
        <v>506</v>
      </c>
      <c r="K269" s="990" t="s">
        <v>506</v>
      </c>
      <c r="L269" s="1024" t="s">
        <v>1379</v>
      </c>
      <c r="M269" s="990" t="s">
        <v>507</v>
      </c>
      <c r="N269" s="990" t="s">
        <v>506</v>
      </c>
      <c r="O269" s="763" t="s">
        <v>2362</v>
      </c>
      <c r="P269" s="635"/>
    </row>
    <row r="270" spans="2:16" s="631" customFormat="1">
      <c r="B270" s="617">
        <v>264</v>
      </c>
      <c r="C270" s="622" t="s">
        <v>1930</v>
      </c>
      <c r="D270" s="853" t="s">
        <v>1952</v>
      </c>
      <c r="E270" s="987">
        <v>98780</v>
      </c>
      <c r="F270" s="987">
        <v>16.73</v>
      </c>
      <c r="G270" s="987">
        <v>28.26</v>
      </c>
      <c r="H270" s="1017">
        <v>6917</v>
      </c>
      <c r="I270" s="1017">
        <v>7076</v>
      </c>
      <c r="J270" s="993">
        <v>5900</v>
      </c>
      <c r="K270" s="1034">
        <v>30.584103638969424</v>
      </c>
      <c r="L270" s="993"/>
      <c r="M270" s="993">
        <v>3684000</v>
      </c>
      <c r="N270" s="993">
        <f>J270*2</f>
        <v>11800</v>
      </c>
      <c r="O270" s="763"/>
      <c r="P270" s="635"/>
    </row>
    <row r="271" spans="2:16" s="631" customFormat="1">
      <c r="B271" s="617">
        <v>265</v>
      </c>
      <c r="C271" s="622" t="s">
        <v>1932</v>
      </c>
      <c r="D271" s="854" t="s">
        <v>1954</v>
      </c>
      <c r="E271" s="987">
        <v>287900</v>
      </c>
      <c r="F271" s="987">
        <v>128.30000000000001</v>
      </c>
      <c r="G271" s="987">
        <v>188.6</v>
      </c>
      <c r="H271" s="1017">
        <v>287900</v>
      </c>
      <c r="I271" s="1017">
        <v>1000000</v>
      </c>
      <c r="J271" s="1035">
        <v>5142.8571428571422</v>
      </c>
      <c r="K271" s="1036">
        <v>32.332236793563013</v>
      </c>
      <c r="L271" s="993"/>
      <c r="M271" s="993">
        <v>16660000</v>
      </c>
      <c r="N271" s="993">
        <f t="shared" ref="N271:N272" si="5">J271*2</f>
        <v>10285.714285714284</v>
      </c>
      <c r="O271" s="763" t="s">
        <v>1979</v>
      </c>
      <c r="P271" s="635"/>
    </row>
    <row r="272" spans="2:16" s="603" customFormat="1" ht="30">
      <c r="B272" s="617">
        <v>267</v>
      </c>
      <c r="C272" s="622" t="s">
        <v>1956</v>
      </c>
      <c r="D272" s="855" t="s">
        <v>1957</v>
      </c>
      <c r="E272" s="987">
        <v>37800</v>
      </c>
      <c r="F272" s="987">
        <v>2.6459999999999999</v>
      </c>
      <c r="G272" s="987">
        <v>2.8820000000000001</v>
      </c>
      <c r="H272" s="990">
        <v>39.409999999999997</v>
      </c>
      <c r="I272" s="990">
        <v>40.380000000000003</v>
      </c>
      <c r="J272" s="989">
        <v>1900</v>
      </c>
      <c r="K272" s="1037">
        <v>9.0917722402666943</v>
      </c>
      <c r="L272" s="989"/>
      <c r="M272" s="989">
        <v>18910</v>
      </c>
      <c r="N272" s="989">
        <f t="shared" si="5"/>
        <v>3800</v>
      </c>
      <c r="O272" s="571" t="s">
        <v>2359</v>
      </c>
      <c r="P272" s="754"/>
    </row>
    <row r="273" spans="2:16" s="631" customFormat="1" ht="45">
      <c r="B273" s="617">
        <v>268</v>
      </c>
      <c r="C273" s="622" t="s">
        <v>1934</v>
      </c>
      <c r="D273" s="856" t="s">
        <v>1959</v>
      </c>
      <c r="E273" s="1093" t="s">
        <v>506</v>
      </c>
      <c r="F273" s="1094"/>
      <c r="G273" s="1094"/>
      <c r="H273" s="1094"/>
      <c r="I273" s="1095"/>
      <c r="J273" s="990" t="s">
        <v>506</v>
      </c>
      <c r="K273" s="990" t="s">
        <v>506</v>
      </c>
      <c r="L273" s="1024" t="s">
        <v>1379</v>
      </c>
      <c r="M273" s="990" t="s">
        <v>507</v>
      </c>
      <c r="N273" s="990" t="s">
        <v>506</v>
      </c>
      <c r="O273" s="763"/>
      <c r="P273" s="635"/>
    </row>
    <row r="274" spans="2:16" s="631" customFormat="1" ht="45">
      <c r="B274" s="617">
        <v>269</v>
      </c>
      <c r="C274" s="622" t="s">
        <v>1935</v>
      </c>
      <c r="D274" s="856" t="s">
        <v>1960</v>
      </c>
      <c r="E274" s="1093" t="s">
        <v>506</v>
      </c>
      <c r="F274" s="1094"/>
      <c r="G274" s="1094"/>
      <c r="H274" s="1094"/>
      <c r="I274" s="1095"/>
      <c r="J274" s="990" t="s">
        <v>506</v>
      </c>
      <c r="K274" s="990" t="s">
        <v>506</v>
      </c>
      <c r="L274" s="1024" t="s">
        <v>1379</v>
      </c>
      <c r="M274" s="990" t="s">
        <v>507</v>
      </c>
      <c r="N274" s="990" t="s">
        <v>506</v>
      </c>
      <c r="O274" s="763"/>
      <c r="P274" s="635"/>
    </row>
    <row r="275" spans="2:16" s="631" customFormat="1" ht="90">
      <c r="B275" s="617">
        <v>270</v>
      </c>
      <c r="C275" s="622" t="s">
        <v>1938</v>
      </c>
      <c r="D275" s="762" t="s">
        <v>1937</v>
      </c>
      <c r="E275" s="1093" t="s">
        <v>506</v>
      </c>
      <c r="F275" s="1094"/>
      <c r="G275" s="1094"/>
      <c r="H275" s="1094"/>
      <c r="I275" s="1095"/>
      <c r="J275" s="990" t="s">
        <v>506</v>
      </c>
      <c r="K275" s="990" t="s">
        <v>506</v>
      </c>
      <c r="L275" s="1024" t="s">
        <v>1379</v>
      </c>
      <c r="M275" s="990" t="s">
        <v>507</v>
      </c>
      <c r="N275" s="990" t="s">
        <v>506</v>
      </c>
      <c r="O275" s="815" t="s">
        <v>2360</v>
      </c>
      <c r="P275" s="635"/>
    </row>
    <row r="276" spans="2:16" s="631" customFormat="1" ht="45">
      <c r="B276" s="617">
        <v>271</v>
      </c>
      <c r="C276" s="622" t="s">
        <v>1936</v>
      </c>
      <c r="D276" s="762" t="s">
        <v>1961</v>
      </c>
      <c r="E276" s="1093" t="s">
        <v>506</v>
      </c>
      <c r="F276" s="1094"/>
      <c r="G276" s="1094"/>
      <c r="H276" s="1094"/>
      <c r="I276" s="1095"/>
      <c r="J276" s="990" t="s">
        <v>506</v>
      </c>
      <c r="K276" s="990" t="s">
        <v>506</v>
      </c>
      <c r="L276" s="1024" t="s">
        <v>1379</v>
      </c>
      <c r="M276" s="990" t="s">
        <v>507</v>
      </c>
      <c r="N276" s="990" t="s">
        <v>506</v>
      </c>
      <c r="O276" s="763"/>
      <c r="P276" s="635"/>
    </row>
    <row r="277" spans="2:16" s="631" customFormat="1">
      <c r="B277" s="617">
        <v>272</v>
      </c>
      <c r="C277" s="622" t="s">
        <v>1939</v>
      </c>
      <c r="D277" s="762" t="s">
        <v>1963</v>
      </c>
      <c r="E277" s="990">
        <v>50430</v>
      </c>
      <c r="F277" s="990">
        <v>5948</v>
      </c>
      <c r="G277" s="1017">
        <v>9879</v>
      </c>
      <c r="H277" s="1017">
        <v>50430</v>
      </c>
      <c r="I277" s="1017">
        <v>420500</v>
      </c>
      <c r="J277" s="1038">
        <v>900</v>
      </c>
      <c r="K277" s="1034">
        <v>1208.5942056671902</v>
      </c>
      <c r="L277" s="993"/>
      <c r="M277" s="993">
        <v>1000000000</v>
      </c>
      <c r="N277" s="993">
        <f>J277*2</f>
        <v>1800</v>
      </c>
      <c r="O277" s="763"/>
      <c r="P277" s="635"/>
    </row>
    <row r="278" spans="2:16" s="631" customFormat="1" ht="90">
      <c r="B278" s="617">
        <v>274</v>
      </c>
      <c r="C278" s="622" t="s">
        <v>1940</v>
      </c>
      <c r="D278" s="853" t="s">
        <v>1964</v>
      </c>
      <c r="E278" s="1093" t="s">
        <v>506</v>
      </c>
      <c r="F278" s="1094"/>
      <c r="G278" s="1094"/>
      <c r="H278" s="1094"/>
      <c r="I278" s="1095"/>
      <c r="J278" s="990" t="s">
        <v>506</v>
      </c>
      <c r="K278" s="990" t="s">
        <v>506</v>
      </c>
      <c r="L278" s="1024" t="s">
        <v>1379</v>
      </c>
      <c r="M278" s="990" t="s">
        <v>507</v>
      </c>
      <c r="N278" s="990" t="s">
        <v>506</v>
      </c>
      <c r="O278" s="763" t="s">
        <v>2363</v>
      </c>
      <c r="P278" s="635"/>
    </row>
    <row r="279" spans="2:16" s="631" customFormat="1" ht="90">
      <c r="B279" s="617">
        <v>275</v>
      </c>
      <c r="C279" s="622" t="s">
        <v>1942</v>
      </c>
      <c r="D279" s="854" t="s">
        <v>1965</v>
      </c>
      <c r="E279" s="1093" t="s">
        <v>506</v>
      </c>
      <c r="F279" s="1094"/>
      <c r="G279" s="1094"/>
      <c r="H279" s="1094"/>
      <c r="I279" s="1095"/>
      <c r="J279" s="990" t="s">
        <v>506</v>
      </c>
      <c r="K279" s="990" t="s">
        <v>506</v>
      </c>
      <c r="L279" s="1024" t="s">
        <v>1379</v>
      </c>
      <c r="M279" s="990" t="s">
        <v>507</v>
      </c>
      <c r="N279" s="990" t="s">
        <v>506</v>
      </c>
      <c r="O279" s="763" t="s">
        <v>2364</v>
      </c>
      <c r="P279" s="635"/>
    </row>
    <row r="280" spans="2:16" s="603" customFormat="1" ht="45">
      <c r="B280" s="617">
        <v>276</v>
      </c>
      <c r="C280" s="622" t="s">
        <v>1943</v>
      </c>
      <c r="D280" s="855" t="s">
        <v>1966</v>
      </c>
      <c r="E280" s="987">
        <v>1077</v>
      </c>
      <c r="F280" s="987">
        <v>225.9</v>
      </c>
      <c r="G280" s="987">
        <v>227.4</v>
      </c>
      <c r="H280" s="990">
        <v>1077</v>
      </c>
      <c r="I280" s="990">
        <v>8959</v>
      </c>
      <c r="J280" s="1039">
        <v>19.224489795918402</v>
      </c>
      <c r="K280" s="1031">
        <v>724.68619849663719</v>
      </c>
      <c r="L280" s="989"/>
      <c r="M280" s="989">
        <v>832900</v>
      </c>
      <c r="N280" s="989">
        <f>J280*2</f>
        <v>38.448979591836803</v>
      </c>
      <c r="O280" s="571" t="s">
        <v>2365</v>
      </c>
      <c r="P280" s="754"/>
    </row>
    <row r="281" spans="2:16" s="631" customFormat="1" ht="45">
      <c r="B281" s="617">
        <v>277</v>
      </c>
      <c r="C281" s="622" t="s">
        <v>1946</v>
      </c>
      <c r="D281" s="854" t="s">
        <v>1967</v>
      </c>
      <c r="E281" s="1093" t="s">
        <v>506</v>
      </c>
      <c r="F281" s="1094"/>
      <c r="G281" s="1094"/>
      <c r="H281" s="1094"/>
      <c r="I281" s="1095"/>
      <c r="J281" s="990" t="s">
        <v>506</v>
      </c>
      <c r="K281" s="990" t="s">
        <v>506</v>
      </c>
      <c r="L281" s="1024" t="s">
        <v>1379</v>
      </c>
      <c r="M281" s="990" t="s">
        <v>507</v>
      </c>
      <c r="N281" s="990" t="s">
        <v>506</v>
      </c>
      <c r="O281" s="763"/>
      <c r="P281" s="635"/>
    </row>
    <row r="282" spans="2:16" s="631" customFormat="1" ht="45">
      <c r="B282" s="617">
        <v>278</v>
      </c>
      <c r="C282" s="622" t="s">
        <v>1947</v>
      </c>
      <c r="D282" s="762" t="s">
        <v>1968</v>
      </c>
      <c r="E282" s="1093" t="s">
        <v>506</v>
      </c>
      <c r="F282" s="1094"/>
      <c r="G282" s="1094"/>
      <c r="H282" s="1094"/>
      <c r="I282" s="1095"/>
      <c r="J282" s="990" t="s">
        <v>506</v>
      </c>
      <c r="K282" s="990" t="s">
        <v>506</v>
      </c>
      <c r="L282" s="1024" t="s">
        <v>1379</v>
      </c>
      <c r="M282" s="990" t="s">
        <v>507</v>
      </c>
      <c r="N282" s="990" t="s">
        <v>506</v>
      </c>
      <c r="O282" s="763" t="s">
        <v>1981</v>
      </c>
      <c r="P282" s="635"/>
    </row>
    <row r="283" spans="2:16" s="631" customFormat="1" ht="45">
      <c r="B283" s="617">
        <v>279</v>
      </c>
      <c r="C283" s="622" t="s">
        <v>1948</v>
      </c>
      <c r="D283" s="762" t="s">
        <v>1970</v>
      </c>
      <c r="E283" s="1093" t="s">
        <v>506</v>
      </c>
      <c r="F283" s="1094"/>
      <c r="G283" s="1094"/>
      <c r="H283" s="1094"/>
      <c r="I283" s="1095"/>
      <c r="J283" s="990" t="s">
        <v>506</v>
      </c>
      <c r="K283" s="990" t="s">
        <v>506</v>
      </c>
      <c r="L283" s="1024" t="s">
        <v>1379</v>
      </c>
      <c r="M283" s="990" t="s">
        <v>507</v>
      </c>
      <c r="N283" s="990" t="s">
        <v>506</v>
      </c>
      <c r="O283" s="763" t="s">
        <v>1980</v>
      </c>
      <c r="P283" s="635"/>
    </row>
    <row r="284" spans="2:16" s="631" customFormat="1" ht="45">
      <c r="B284" s="617">
        <v>280</v>
      </c>
      <c r="C284" s="622" t="s">
        <v>1949</v>
      </c>
      <c r="D284" s="857" t="s">
        <v>1972</v>
      </c>
      <c r="E284" s="1093" t="s">
        <v>506</v>
      </c>
      <c r="F284" s="1094"/>
      <c r="G284" s="1094"/>
      <c r="H284" s="1094"/>
      <c r="I284" s="1095"/>
      <c r="J284" s="990" t="s">
        <v>506</v>
      </c>
      <c r="K284" s="990" t="s">
        <v>506</v>
      </c>
      <c r="L284" s="1024" t="s">
        <v>1379</v>
      </c>
      <c r="M284" s="990" t="s">
        <v>507</v>
      </c>
      <c r="N284" s="990" t="s">
        <v>506</v>
      </c>
      <c r="O284" s="763" t="s">
        <v>1982</v>
      </c>
      <c r="P284" s="635"/>
    </row>
    <row r="285" spans="2:16" s="631" customFormat="1" ht="45">
      <c r="B285" s="617">
        <v>281</v>
      </c>
      <c r="C285" s="622" t="s">
        <v>2444</v>
      </c>
      <c r="D285" s="762" t="s">
        <v>1973</v>
      </c>
      <c r="E285" s="1093" t="s">
        <v>506</v>
      </c>
      <c r="F285" s="1094"/>
      <c r="G285" s="1094"/>
      <c r="H285" s="1094"/>
      <c r="I285" s="1095"/>
      <c r="J285" s="990" t="s">
        <v>506</v>
      </c>
      <c r="K285" s="990" t="s">
        <v>506</v>
      </c>
      <c r="L285" s="1024" t="s">
        <v>1379</v>
      </c>
      <c r="M285" s="990" t="s">
        <v>507</v>
      </c>
      <c r="N285" s="990" t="s">
        <v>506</v>
      </c>
      <c r="O285" s="763"/>
      <c r="P285" s="635"/>
    </row>
    <row r="286" spans="2:16" s="631" customFormat="1" ht="45">
      <c r="B286" s="617">
        <v>282</v>
      </c>
      <c r="C286" s="622" t="s">
        <v>1975</v>
      </c>
      <c r="D286" s="762" t="s">
        <v>1974</v>
      </c>
      <c r="E286" s="1093" t="s">
        <v>506</v>
      </c>
      <c r="F286" s="1094"/>
      <c r="G286" s="1094"/>
      <c r="H286" s="1094"/>
      <c r="I286" s="1095"/>
      <c r="J286" s="990" t="s">
        <v>506</v>
      </c>
      <c r="K286" s="990" t="s">
        <v>506</v>
      </c>
      <c r="L286" s="1024" t="s">
        <v>1379</v>
      </c>
      <c r="M286" s="990" t="s">
        <v>507</v>
      </c>
      <c r="N286" s="990" t="s">
        <v>506</v>
      </c>
      <c r="O286" s="763"/>
      <c r="P286" s="635"/>
    </row>
    <row r="287" spans="2:16" s="631" customFormat="1" ht="45">
      <c r="B287" s="617">
        <v>283</v>
      </c>
      <c r="C287" s="622" t="s">
        <v>1892</v>
      </c>
      <c r="D287" s="762" t="s">
        <v>1891</v>
      </c>
      <c r="E287" s="990">
        <v>113.6</v>
      </c>
      <c r="F287" s="990">
        <v>2.5000000000000001E-2</v>
      </c>
      <c r="G287" s="990">
        <v>3.8859999999999999E-2</v>
      </c>
      <c r="H287" s="990">
        <v>113.6</v>
      </c>
      <c r="I287" s="990">
        <v>165.8</v>
      </c>
      <c r="J287" s="993">
        <v>50</v>
      </c>
      <c r="K287" s="993">
        <v>0.40610000000000002</v>
      </c>
      <c r="L287" s="993"/>
      <c r="M287" s="993">
        <v>81920</v>
      </c>
      <c r="N287" s="993">
        <f>J287*2</f>
        <v>100</v>
      </c>
      <c r="O287" s="1155" t="s">
        <v>2555</v>
      </c>
      <c r="P287" s="635"/>
    </row>
    <row r="288" spans="2:16" s="439" customFormat="1">
      <c r="B288" s="453"/>
      <c r="C288" s="455"/>
      <c r="D288" s="469"/>
      <c r="E288" s="1020"/>
      <c r="F288" s="1020"/>
      <c r="G288" s="1020"/>
      <c r="H288" s="1020"/>
      <c r="I288" s="1020"/>
      <c r="J288" s="991"/>
      <c r="K288" s="991"/>
      <c r="L288" s="991"/>
      <c r="M288" s="991"/>
      <c r="N288" s="991"/>
      <c r="O288" s="470"/>
      <c r="P288" s="457"/>
    </row>
    <row r="289" spans="2:16" s="439" customFormat="1">
      <c r="B289" s="453"/>
      <c r="C289" s="455"/>
      <c r="D289" s="469"/>
      <c r="E289" s="1020"/>
      <c r="F289" s="1020"/>
      <c r="G289" s="1020"/>
      <c r="H289" s="1020"/>
      <c r="I289" s="1020"/>
      <c r="J289" s="991"/>
      <c r="K289" s="991"/>
      <c r="L289" s="991"/>
      <c r="M289" s="991"/>
      <c r="N289" s="991"/>
      <c r="O289" s="470"/>
      <c r="P289" s="457"/>
    </row>
    <row r="290" spans="2:16">
      <c r="B290" s="453"/>
      <c r="C290" s="455"/>
      <c r="D290" s="469"/>
      <c r="E290" s="1020"/>
      <c r="F290" s="1020"/>
      <c r="G290" s="1020"/>
      <c r="H290" s="1020"/>
      <c r="I290" s="1020"/>
      <c r="J290" s="991"/>
      <c r="K290" s="991"/>
      <c r="L290" s="991"/>
      <c r="M290" s="991"/>
      <c r="N290" s="991"/>
      <c r="O290" s="470"/>
    </row>
  </sheetData>
  <mergeCells count="119">
    <mergeCell ref="E245:I245"/>
    <mergeCell ref="E246:I246"/>
    <mergeCell ref="E248:I248"/>
    <mergeCell ref="E249:I249"/>
    <mergeCell ref="E93:I93"/>
    <mergeCell ref="E82:I82"/>
    <mergeCell ref="E107:I107"/>
    <mergeCell ref="E94:I94"/>
    <mergeCell ref="E95:I95"/>
    <mergeCell ref="E96:I96"/>
    <mergeCell ref="E101:I101"/>
    <mergeCell ref="E102:I102"/>
    <mergeCell ref="E103:I103"/>
    <mergeCell ref="E104:I104"/>
    <mergeCell ref="E105:I105"/>
    <mergeCell ref="E106:I106"/>
    <mergeCell ref="E108:I108"/>
    <mergeCell ref="E112:I112"/>
    <mergeCell ref="E113:I113"/>
    <mergeCell ref="E116:I116"/>
    <mergeCell ref="E119:I119"/>
    <mergeCell ref="E122:I122"/>
    <mergeCell ref="E124:I124"/>
    <mergeCell ref="E125:I125"/>
    <mergeCell ref="E255:I255"/>
    <mergeCell ref="E256:I256"/>
    <mergeCell ref="E257:I257"/>
    <mergeCell ref="E258:I258"/>
    <mergeCell ref="E259:I259"/>
    <mergeCell ref="E250:I250"/>
    <mergeCell ref="E251:I251"/>
    <mergeCell ref="E252:I252"/>
    <mergeCell ref="E253:I253"/>
    <mergeCell ref="E254:I254"/>
    <mergeCell ref="E47:I47"/>
    <mergeCell ref="B2:M2"/>
    <mergeCell ref="E33:I33"/>
    <mergeCell ref="E37:I37"/>
    <mergeCell ref="E38:I38"/>
    <mergeCell ref="E40:I40"/>
    <mergeCell ref="E41:I41"/>
    <mergeCell ref="E42:I42"/>
    <mergeCell ref="E43:I43"/>
    <mergeCell ref="E44:I44"/>
    <mergeCell ref="E48:I48"/>
    <mergeCell ref="E73:I73"/>
    <mergeCell ref="E75:I75"/>
    <mergeCell ref="E76:I76"/>
    <mergeCell ref="E77:I77"/>
    <mergeCell ref="E78:I78"/>
    <mergeCell ref="E79:I79"/>
    <mergeCell ref="E80:I80"/>
    <mergeCell ref="E81:I81"/>
    <mergeCell ref="E59:I59"/>
    <mergeCell ref="E50:I50"/>
    <mergeCell ref="E126:I126"/>
    <mergeCell ref="E127:I127"/>
    <mergeCell ref="E128:I128"/>
    <mergeCell ref="E146:I146"/>
    <mergeCell ref="E130:I130"/>
    <mergeCell ref="E131:I131"/>
    <mergeCell ref="E132:I132"/>
    <mergeCell ref="E133:I133"/>
    <mergeCell ref="E134:I134"/>
    <mergeCell ref="E136:I136"/>
    <mergeCell ref="E139:I139"/>
    <mergeCell ref="E141:I141"/>
    <mergeCell ref="E142:I142"/>
    <mergeCell ref="E144:I144"/>
    <mergeCell ref="E145:I145"/>
    <mergeCell ref="E161:I161"/>
    <mergeCell ref="E147:I147"/>
    <mergeCell ref="E148:I148"/>
    <mergeCell ref="E149:I149"/>
    <mergeCell ref="E150:I150"/>
    <mergeCell ref="E151:I151"/>
    <mergeCell ref="E152:I152"/>
    <mergeCell ref="E153:I153"/>
    <mergeCell ref="E154:I154"/>
    <mergeCell ref="E155:I155"/>
    <mergeCell ref="E156:I156"/>
    <mergeCell ref="E157:I157"/>
    <mergeCell ref="E241:I241"/>
    <mergeCell ref="E242:I242"/>
    <mergeCell ref="E219:I219"/>
    <mergeCell ref="E163:I163"/>
    <mergeCell ref="E168:I168"/>
    <mergeCell ref="E169:I169"/>
    <mergeCell ref="E170:I170"/>
    <mergeCell ref="E172:I172"/>
    <mergeCell ref="E175:I175"/>
    <mergeCell ref="E181:I181"/>
    <mergeCell ref="E184:I184"/>
    <mergeCell ref="E191:I191"/>
    <mergeCell ref="E209:I209"/>
    <mergeCell ref="E213:I213"/>
    <mergeCell ref="E233:I233"/>
    <mergeCell ref="E234:I234"/>
    <mergeCell ref="E235:I235"/>
    <mergeCell ref="E236:I236"/>
    <mergeCell ref="E237:I237"/>
    <mergeCell ref="E238:I238"/>
    <mergeCell ref="E239:I239"/>
    <mergeCell ref="E240:I240"/>
    <mergeCell ref="E278:I278"/>
    <mergeCell ref="E279:I279"/>
    <mergeCell ref="E282:I282"/>
    <mergeCell ref="E283:I283"/>
    <mergeCell ref="E284:I284"/>
    <mergeCell ref="E285:I285"/>
    <mergeCell ref="E286:I286"/>
    <mergeCell ref="E266:I266"/>
    <mergeCell ref="E268:I268"/>
    <mergeCell ref="E269:I269"/>
    <mergeCell ref="E273:I273"/>
    <mergeCell ref="E274:I274"/>
    <mergeCell ref="E275:I275"/>
    <mergeCell ref="E276:I276"/>
    <mergeCell ref="E281:I281"/>
  </mergeCells>
  <pageMargins left="0.70866141732283472" right="0.70866141732283472" top="0.74803149606299213" bottom="0.74803149606299213" header="0.31496062992125984" footer="0.31496062992125984"/>
  <pageSetup paperSize="8" scale="56" fitToWidth="2" fitToHeight="9" orientation="landscape" r:id="rId1"/>
</worksheet>
</file>

<file path=xl/worksheets/sheet8.xml><?xml version="1.0" encoding="utf-8"?>
<worksheet xmlns="http://schemas.openxmlformats.org/spreadsheetml/2006/main" xmlns:r="http://schemas.openxmlformats.org/officeDocument/2006/relationships">
  <sheetPr>
    <tabColor theme="3"/>
    <pageSetUpPr fitToPage="1"/>
  </sheetPr>
  <dimension ref="B2:AO297"/>
  <sheetViews>
    <sheetView view="pageBreakPreview" topLeftCell="C1" zoomScale="75" zoomScaleNormal="50" zoomScaleSheetLayoutView="75" workbookViewId="0">
      <selection activeCell="E3" sqref="E3"/>
    </sheetView>
  </sheetViews>
  <sheetFormatPr baseColWidth="10" defaultRowHeight="15"/>
  <cols>
    <col min="1" max="1" width="3.5703125" customWidth="1"/>
    <col min="2" max="2" width="10.28515625" style="74" customWidth="1"/>
    <col min="3" max="3" width="15.7109375" customWidth="1"/>
    <col min="4" max="4" width="14.7109375" style="74" customWidth="1"/>
    <col min="5" max="5" width="49" customWidth="1"/>
    <col min="6" max="14" width="14" style="74" customWidth="1"/>
    <col min="15" max="15" width="23.7109375" style="74" customWidth="1"/>
    <col min="16" max="16" width="22.7109375" style="74" customWidth="1"/>
    <col min="17" max="17" width="11.7109375" customWidth="1"/>
    <col min="18" max="18" width="12.28515625" customWidth="1"/>
    <col min="23" max="23" width="11.7109375" customWidth="1"/>
    <col min="24" max="24" width="20.7109375" customWidth="1"/>
  </cols>
  <sheetData>
    <row r="2" spans="2:41" ht="15.75">
      <c r="B2" s="235" t="s">
        <v>1454</v>
      </c>
      <c r="C2" s="75"/>
      <c r="D2" s="76"/>
      <c r="E2" s="75" t="s">
        <v>542</v>
      </c>
      <c r="F2" s="77" t="s">
        <v>543</v>
      </c>
      <c r="G2" s="1106" t="s">
        <v>544</v>
      </c>
      <c r="H2" s="1107"/>
      <c r="I2" s="78" t="s">
        <v>545</v>
      </c>
      <c r="J2" s="79"/>
      <c r="K2" s="79"/>
      <c r="L2" s="79"/>
      <c r="M2" s="79"/>
      <c r="N2" s="80"/>
      <c r="O2" s="77" t="s">
        <v>546</v>
      </c>
      <c r="P2" s="77" t="s">
        <v>547</v>
      </c>
      <c r="Q2" s="81"/>
      <c r="R2" s="81"/>
      <c r="S2" s="81"/>
      <c r="T2" s="81"/>
      <c r="U2" s="81"/>
      <c r="V2" s="81"/>
      <c r="W2" s="81"/>
      <c r="X2" s="81"/>
      <c r="Y2" s="81"/>
      <c r="Z2" s="81"/>
      <c r="AA2" s="81"/>
      <c r="AB2" s="81"/>
      <c r="AC2" s="81"/>
      <c r="AD2" s="81"/>
      <c r="AE2" s="81"/>
      <c r="AF2" s="81"/>
      <c r="AG2" s="81"/>
      <c r="AH2" s="81"/>
      <c r="AI2" s="81"/>
      <c r="AJ2" s="81"/>
      <c r="AK2" s="81"/>
      <c r="AL2" s="81"/>
      <c r="AM2" s="81"/>
      <c r="AN2" s="81"/>
      <c r="AO2" s="81"/>
    </row>
    <row r="3" spans="2:41" ht="36" customHeight="1">
      <c r="B3" s="1108" t="s">
        <v>1987</v>
      </c>
      <c r="C3" s="1108"/>
      <c r="D3" s="1108"/>
      <c r="E3" s="75" t="s">
        <v>2557</v>
      </c>
      <c r="F3" s="82" t="s">
        <v>548</v>
      </c>
      <c r="G3" s="82" t="s">
        <v>549</v>
      </c>
      <c r="H3" s="82" t="s">
        <v>550</v>
      </c>
      <c r="I3" s="82" t="s">
        <v>551</v>
      </c>
      <c r="J3" s="82" t="s">
        <v>552</v>
      </c>
      <c r="K3" s="82" t="s">
        <v>553</v>
      </c>
      <c r="L3" s="82" t="s">
        <v>554</v>
      </c>
      <c r="M3" s="82" t="s">
        <v>555</v>
      </c>
      <c r="N3" s="82" t="s">
        <v>556</v>
      </c>
      <c r="O3" s="82" t="s">
        <v>557</v>
      </c>
      <c r="P3" s="83" t="s">
        <v>558</v>
      </c>
      <c r="Q3" s="84"/>
      <c r="R3" s="84"/>
      <c r="S3" s="85"/>
      <c r="T3" s="84"/>
      <c r="U3" s="85"/>
      <c r="V3" s="85"/>
      <c r="W3" s="85"/>
      <c r="X3" s="84"/>
      <c r="Y3" s="84"/>
      <c r="Z3" s="84"/>
      <c r="AA3" s="81"/>
      <c r="AB3" s="81"/>
      <c r="AC3" s="81"/>
      <c r="AD3" s="81"/>
      <c r="AE3" s="81"/>
      <c r="AF3" s="81"/>
      <c r="AG3" s="81"/>
      <c r="AH3" s="81"/>
      <c r="AI3" s="81"/>
      <c r="AJ3" s="81"/>
      <c r="AK3" s="81"/>
      <c r="AL3" s="81"/>
      <c r="AM3" s="81"/>
      <c r="AN3" s="81"/>
      <c r="AO3" s="81"/>
    </row>
    <row r="4" spans="2:41" ht="60">
      <c r="B4" s="54" t="s">
        <v>450</v>
      </c>
      <c r="C4" s="54" t="s">
        <v>46</v>
      </c>
      <c r="D4" s="59" t="s">
        <v>559</v>
      </c>
      <c r="E4" s="60" t="s">
        <v>496</v>
      </c>
      <c r="F4" s="86" t="s">
        <v>560</v>
      </c>
      <c r="G4" s="86" t="s">
        <v>561</v>
      </c>
      <c r="H4" s="86" t="s">
        <v>562</v>
      </c>
      <c r="I4" s="86" t="s">
        <v>563</v>
      </c>
      <c r="J4" s="86" t="s">
        <v>564</v>
      </c>
      <c r="K4" s="86" t="s">
        <v>565</v>
      </c>
      <c r="L4" s="86" t="s">
        <v>566</v>
      </c>
      <c r="M4" s="86" t="s">
        <v>567</v>
      </c>
      <c r="N4" s="86" t="s">
        <v>568</v>
      </c>
      <c r="O4" s="86" t="s">
        <v>569</v>
      </c>
      <c r="P4" s="86" t="s">
        <v>570</v>
      </c>
      <c r="Q4" s="87"/>
      <c r="R4" s="87"/>
      <c r="S4" s="87"/>
      <c r="T4" s="87"/>
      <c r="U4" s="87"/>
      <c r="V4" s="87"/>
      <c r="W4" s="87"/>
      <c r="X4" s="88"/>
      <c r="Y4" s="87"/>
      <c r="Z4" s="87"/>
      <c r="AA4" s="81"/>
      <c r="AB4" s="81"/>
      <c r="AC4" s="81"/>
      <c r="AD4" s="81"/>
      <c r="AE4" s="81"/>
      <c r="AF4" s="81"/>
      <c r="AG4" s="81"/>
      <c r="AH4" s="81"/>
      <c r="AI4" s="81"/>
      <c r="AJ4" s="81"/>
      <c r="AK4" s="81"/>
      <c r="AL4" s="81"/>
      <c r="AM4" s="81"/>
      <c r="AN4" s="81"/>
      <c r="AO4" s="81"/>
    </row>
    <row r="5" spans="2:41">
      <c r="B5" s="9">
        <v>1</v>
      </c>
      <c r="C5" s="31" t="s">
        <v>198</v>
      </c>
      <c r="D5" s="89" t="s">
        <v>571</v>
      </c>
      <c r="E5" s="290" t="s">
        <v>1579</v>
      </c>
      <c r="F5" s="477">
        <v>262368.81559220387</v>
      </c>
      <c r="G5" s="234"/>
      <c r="H5" s="234"/>
      <c r="I5" s="234">
        <v>147780.22704193546</v>
      </c>
      <c r="J5" s="234">
        <v>172413.79310344826</v>
      </c>
      <c r="K5" s="234">
        <v>262368.81559220387</v>
      </c>
      <c r="L5" s="234">
        <v>262368.81559220387</v>
      </c>
      <c r="M5" s="474">
        <v>1000000</v>
      </c>
      <c r="N5" s="474">
        <v>1000000</v>
      </c>
      <c r="O5" s="234">
        <f t="shared" ref="O5:O16" si="0">MIN(K5,L5,M5,N5)</f>
        <v>262368.81559220387</v>
      </c>
      <c r="P5" s="234">
        <f>MIN(M5,N5)</f>
        <v>1000000</v>
      </c>
      <c r="Q5" s="92"/>
      <c r="R5" s="92"/>
      <c r="S5" s="84"/>
      <c r="T5" s="92"/>
      <c r="U5" s="92"/>
      <c r="V5" s="92"/>
      <c r="W5" s="92"/>
      <c r="X5" s="92"/>
      <c r="Y5" s="92"/>
      <c r="Z5" s="92"/>
      <c r="AA5" s="81"/>
      <c r="AB5" s="81"/>
      <c r="AC5" s="81"/>
      <c r="AD5" s="81"/>
      <c r="AE5" s="81"/>
      <c r="AF5" s="81"/>
      <c r="AG5" s="81"/>
      <c r="AH5" s="81"/>
      <c r="AI5" s="81"/>
      <c r="AJ5" s="81"/>
      <c r="AK5" s="81"/>
      <c r="AL5" s="81"/>
      <c r="AM5" s="81"/>
      <c r="AN5" s="81"/>
      <c r="AO5" s="81"/>
    </row>
    <row r="6" spans="2:41">
      <c r="B6" s="9">
        <v>2</v>
      </c>
      <c r="C6" s="31" t="s">
        <v>200</v>
      </c>
      <c r="D6" s="491" t="s">
        <v>572</v>
      </c>
      <c r="E6" s="290" t="s">
        <v>1582</v>
      </c>
      <c r="F6" s="595">
        <v>104.5060781481523</v>
      </c>
      <c r="G6" s="594"/>
      <c r="H6" s="594"/>
      <c r="I6" s="594">
        <v>60.051292974907334</v>
      </c>
      <c r="J6" s="594">
        <v>68.16342180377454</v>
      </c>
      <c r="K6" s="594">
        <v>104.5060781481523</v>
      </c>
      <c r="L6" s="594">
        <v>104.5060781481523</v>
      </c>
      <c r="M6" s="594">
        <v>595.34883720930236</v>
      </c>
      <c r="N6" s="594">
        <v>585.62091503267982</v>
      </c>
      <c r="O6" s="594">
        <f t="shared" si="0"/>
        <v>104.5060781481523</v>
      </c>
      <c r="P6" s="594">
        <f t="shared" ref="P6:P68" si="1">MIN(M6,N6)</f>
        <v>585.62091503267982</v>
      </c>
      <c r="Q6" s="92"/>
      <c r="R6" s="92"/>
      <c r="S6" s="84"/>
      <c r="T6" s="92"/>
      <c r="U6" s="92"/>
      <c r="V6" s="92"/>
      <c r="W6" s="92"/>
      <c r="X6" s="92"/>
      <c r="Y6" s="92"/>
      <c r="Z6" s="92"/>
      <c r="AA6" s="81"/>
      <c r="AB6" s="81"/>
      <c r="AC6" s="81"/>
      <c r="AD6" s="81"/>
      <c r="AE6" s="81"/>
      <c r="AF6" s="81"/>
      <c r="AG6" s="81"/>
      <c r="AH6" s="81"/>
      <c r="AI6" s="81"/>
      <c r="AJ6" s="81"/>
      <c r="AK6" s="81"/>
      <c r="AL6" s="81"/>
      <c r="AM6" s="81"/>
      <c r="AN6" s="81"/>
      <c r="AO6" s="81"/>
    </row>
    <row r="7" spans="2:41">
      <c r="B7" s="9">
        <v>3</v>
      </c>
      <c r="C7" s="31" t="s">
        <v>202</v>
      </c>
      <c r="D7" s="61" t="s">
        <v>571</v>
      </c>
      <c r="E7" s="290" t="s">
        <v>1587</v>
      </c>
      <c r="F7" s="477">
        <v>36890.645586297767</v>
      </c>
      <c r="G7" s="234"/>
      <c r="H7" s="234"/>
      <c r="I7" s="234">
        <v>7533.7810763568032</v>
      </c>
      <c r="J7" s="234">
        <v>15841.584158415841</v>
      </c>
      <c r="K7" s="234">
        <v>36890.645586297767</v>
      </c>
      <c r="L7" s="234">
        <v>36890.645586297767</v>
      </c>
      <c r="M7" s="234">
        <v>56423.173803526442</v>
      </c>
      <c r="N7" s="234">
        <v>42911.877394636016</v>
      </c>
      <c r="O7" s="234">
        <f t="shared" si="0"/>
        <v>36890.645586297767</v>
      </c>
      <c r="P7" s="234">
        <f t="shared" si="1"/>
        <v>42911.877394636016</v>
      </c>
      <c r="Q7" s="92"/>
      <c r="R7" s="92"/>
      <c r="S7" s="84"/>
      <c r="T7" s="92"/>
      <c r="U7" s="92"/>
      <c r="V7" s="92"/>
      <c r="W7" s="92"/>
      <c r="X7" s="92"/>
      <c r="Y7" s="92"/>
      <c r="Z7" s="92"/>
      <c r="AA7" s="81"/>
      <c r="AB7" s="81"/>
      <c r="AC7" s="81"/>
      <c r="AD7" s="81"/>
      <c r="AE7" s="81"/>
      <c r="AF7" s="81"/>
      <c r="AG7" s="81"/>
      <c r="AH7" s="81"/>
      <c r="AI7" s="81"/>
      <c r="AJ7" s="81"/>
      <c r="AK7" s="81"/>
      <c r="AL7" s="81"/>
      <c r="AM7" s="81"/>
      <c r="AN7" s="81"/>
      <c r="AO7" s="81"/>
    </row>
    <row r="8" spans="2:41">
      <c r="B8" s="9">
        <v>4</v>
      </c>
      <c r="C8" s="31" t="s">
        <v>203</v>
      </c>
      <c r="D8" s="61">
        <v>1</v>
      </c>
      <c r="E8" s="290" t="s">
        <v>1589</v>
      </c>
      <c r="F8" s="62">
        <v>327.25572697522205</v>
      </c>
      <c r="G8" s="63"/>
      <c r="H8" s="63"/>
      <c r="I8" s="63">
        <v>122.10012210012211</v>
      </c>
      <c r="J8" s="63">
        <v>122.10012210012211</v>
      </c>
      <c r="K8" s="63">
        <v>327.25572697522205</v>
      </c>
      <c r="L8" s="63">
        <v>327.25572697522205</v>
      </c>
      <c r="M8" s="63">
        <v>417.68779968034085</v>
      </c>
      <c r="N8" s="63">
        <v>313.34932054356511</v>
      </c>
      <c r="O8" s="63">
        <f t="shared" si="0"/>
        <v>313.34932054356511</v>
      </c>
      <c r="P8" s="63">
        <f t="shared" si="1"/>
        <v>313.34932054356511</v>
      </c>
      <c r="Q8" s="92"/>
      <c r="R8" s="92"/>
      <c r="S8" s="84"/>
      <c r="T8" s="92"/>
      <c r="U8" s="92"/>
      <c r="V8" s="92"/>
      <c r="W8" s="92"/>
      <c r="X8" s="92"/>
      <c r="Y8" s="92"/>
      <c r="Z8" s="92"/>
      <c r="AA8" s="81"/>
      <c r="AB8" s="81"/>
      <c r="AC8" s="81"/>
      <c r="AD8" s="81"/>
      <c r="AE8" s="81"/>
      <c r="AF8" s="81"/>
      <c r="AG8" s="81"/>
      <c r="AH8" s="81"/>
      <c r="AI8" s="81"/>
      <c r="AJ8" s="81"/>
      <c r="AK8" s="81"/>
      <c r="AL8" s="81"/>
      <c r="AM8" s="81"/>
      <c r="AN8" s="81"/>
      <c r="AO8" s="81"/>
    </row>
    <row r="9" spans="2:41">
      <c r="B9" s="9">
        <v>5</v>
      </c>
      <c r="C9" s="31" t="s">
        <v>204</v>
      </c>
      <c r="D9" s="61" t="s">
        <v>572</v>
      </c>
      <c r="E9" s="290" t="s">
        <v>1620</v>
      </c>
      <c r="F9" s="477">
        <v>356.76710752887811</v>
      </c>
      <c r="G9" s="234"/>
      <c r="H9" s="234"/>
      <c r="I9" s="234">
        <v>171.94583059675008</v>
      </c>
      <c r="J9" s="234">
        <v>223.0098363267094</v>
      </c>
      <c r="K9" s="234">
        <v>356.76710752887811</v>
      </c>
      <c r="L9" s="234">
        <v>356.76710752887811</v>
      </c>
      <c r="M9" s="234">
        <v>1654.881266490765</v>
      </c>
      <c r="N9" s="234">
        <v>1514.9758454106279</v>
      </c>
      <c r="O9" s="234">
        <f t="shared" si="0"/>
        <v>356.76710752887811</v>
      </c>
      <c r="P9" s="234">
        <f t="shared" si="1"/>
        <v>1514.9758454106279</v>
      </c>
      <c r="Q9" s="92"/>
      <c r="R9" s="92"/>
      <c r="S9" s="84"/>
      <c r="T9" s="92"/>
      <c r="U9" s="92"/>
      <c r="V9" s="92"/>
      <c r="W9" s="92"/>
      <c r="X9" s="92"/>
      <c r="Y9" s="92"/>
      <c r="Z9" s="92"/>
      <c r="AA9" s="81"/>
      <c r="AB9" s="81"/>
      <c r="AC9" s="81"/>
      <c r="AD9" s="81"/>
      <c r="AE9" s="81"/>
      <c r="AF9" s="81"/>
      <c r="AG9" s="81"/>
      <c r="AH9" s="81"/>
      <c r="AI9" s="81"/>
      <c r="AJ9" s="81"/>
      <c r="AK9" s="81"/>
      <c r="AL9" s="81"/>
      <c r="AM9" s="81"/>
      <c r="AN9" s="81"/>
      <c r="AO9" s="81"/>
    </row>
    <row r="10" spans="2:41">
      <c r="B10" s="9">
        <v>6</v>
      </c>
      <c r="C10" s="31" t="s">
        <v>205</v>
      </c>
      <c r="D10" s="61" t="s">
        <v>571</v>
      </c>
      <c r="E10" s="290" t="s">
        <v>1667</v>
      </c>
      <c r="F10" s="62">
        <v>52473.76311844078</v>
      </c>
      <c r="G10" s="63"/>
      <c r="H10" s="63"/>
      <c r="I10" s="63">
        <v>34072.379310344826</v>
      </c>
      <c r="J10" s="63">
        <v>34482.758620689652</v>
      </c>
      <c r="K10" s="63">
        <v>52473.76311844078</v>
      </c>
      <c r="L10" s="63">
        <v>52473.76311844078</v>
      </c>
      <c r="M10" s="63">
        <v>311111.11111111112</v>
      </c>
      <c r="N10" s="63">
        <v>311111.11111111112</v>
      </c>
      <c r="O10" s="63">
        <f t="shared" si="0"/>
        <v>52473.76311844078</v>
      </c>
      <c r="P10" s="63">
        <f t="shared" si="1"/>
        <v>311111.11111111112</v>
      </c>
      <c r="Q10" s="92"/>
      <c r="R10" s="92"/>
      <c r="S10" s="84"/>
      <c r="T10" s="92"/>
      <c r="U10" s="92"/>
      <c r="V10" s="92"/>
      <c r="W10" s="92"/>
      <c r="X10" s="92"/>
      <c r="Y10" s="92"/>
      <c r="Z10" s="92"/>
      <c r="AA10" s="81"/>
      <c r="AB10" s="81"/>
      <c r="AC10" s="81"/>
      <c r="AD10" s="81"/>
      <c r="AE10" s="81"/>
      <c r="AF10" s="81"/>
      <c r="AG10" s="81"/>
      <c r="AH10" s="81"/>
      <c r="AI10" s="81"/>
      <c r="AJ10" s="81"/>
      <c r="AK10" s="81"/>
      <c r="AL10" s="81"/>
      <c r="AM10" s="81"/>
      <c r="AN10" s="81"/>
      <c r="AO10" s="81"/>
    </row>
    <row r="11" spans="2:41">
      <c r="B11" s="9">
        <v>7</v>
      </c>
      <c r="C11" s="31" t="s">
        <v>206</v>
      </c>
      <c r="D11" s="61" t="s">
        <v>571</v>
      </c>
      <c r="E11" s="290" t="s">
        <v>1695</v>
      </c>
      <c r="F11" s="477">
        <v>8533.1166192604633</v>
      </c>
      <c r="G11" s="234"/>
      <c r="H11" s="234"/>
      <c r="I11" s="234">
        <v>2252.079123829491</v>
      </c>
      <c r="J11" s="234">
        <v>3084.8329048843184</v>
      </c>
      <c r="K11" s="234">
        <v>8533.1166192604633</v>
      </c>
      <c r="L11" s="234">
        <v>8533.1166192604633</v>
      </c>
      <c r="M11" s="234">
        <v>9307.4792243767297</v>
      </c>
      <c r="N11" s="234">
        <v>6913.5802469135797</v>
      </c>
      <c r="O11" s="234">
        <f t="shared" si="0"/>
        <v>6913.5802469135797</v>
      </c>
      <c r="P11" s="234">
        <f t="shared" si="1"/>
        <v>6913.5802469135797</v>
      </c>
      <c r="Q11" s="92"/>
      <c r="R11" s="92"/>
      <c r="S11" s="84"/>
      <c r="T11" s="92"/>
      <c r="U11" s="92"/>
      <c r="V11" s="92"/>
      <c r="W11" s="92"/>
      <c r="X11" s="92"/>
      <c r="Y11" s="92"/>
      <c r="Z11" s="92"/>
      <c r="AA11" s="81"/>
      <c r="AB11" s="81"/>
      <c r="AC11" s="81"/>
      <c r="AD11" s="81"/>
      <c r="AE11" s="81"/>
      <c r="AF11" s="81"/>
      <c r="AG11" s="81"/>
      <c r="AH11" s="81"/>
      <c r="AI11" s="81"/>
      <c r="AJ11" s="81"/>
      <c r="AK11" s="81"/>
      <c r="AL11" s="81"/>
      <c r="AM11" s="81"/>
      <c r="AN11" s="81"/>
      <c r="AO11" s="81"/>
    </row>
    <row r="12" spans="2:41">
      <c r="B12" s="9">
        <v>8</v>
      </c>
      <c r="C12" s="31" t="s">
        <v>207</v>
      </c>
      <c r="D12" s="61" t="s">
        <v>571</v>
      </c>
      <c r="E12" s="290" t="s">
        <v>1712</v>
      </c>
      <c r="F12" s="477">
        <v>1310.6906325408595</v>
      </c>
      <c r="G12" s="234"/>
      <c r="H12" s="234"/>
      <c r="I12" s="234">
        <v>8.7898803933687333</v>
      </c>
      <c r="J12" s="234">
        <v>859.96076429012919</v>
      </c>
      <c r="K12" s="234">
        <v>1310.6906325408595</v>
      </c>
      <c r="L12" s="234">
        <v>1310.6906325408595</v>
      </c>
      <c r="M12" s="234">
        <v>7705.3174716927051</v>
      </c>
      <c r="N12" s="234">
        <v>7677.8063410454151</v>
      </c>
      <c r="O12" s="234">
        <f t="shared" si="0"/>
        <v>1310.6906325408595</v>
      </c>
      <c r="P12" s="234">
        <f t="shared" si="1"/>
        <v>7677.8063410454151</v>
      </c>
      <c r="Q12" s="92"/>
      <c r="R12" s="92"/>
      <c r="S12" s="84"/>
      <c r="T12" s="92"/>
      <c r="U12" s="92"/>
      <c r="V12" s="92"/>
      <c r="W12" s="92"/>
      <c r="X12" s="92"/>
      <c r="Y12" s="92"/>
      <c r="Z12" s="92"/>
      <c r="AA12" s="81"/>
      <c r="AB12" s="81"/>
      <c r="AC12" s="81"/>
      <c r="AD12" s="81"/>
      <c r="AE12" s="81"/>
      <c r="AF12" s="81"/>
      <c r="AG12" s="81"/>
      <c r="AH12" s="81"/>
      <c r="AI12" s="81"/>
      <c r="AJ12" s="81"/>
      <c r="AK12" s="81"/>
      <c r="AL12" s="81"/>
      <c r="AM12" s="81"/>
      <c r="AN12" s="81"/>
      <c r="AO12" s="81"/>
    </row>
    <row r="13" spans="2:41">
      <c r="B13" s="9">
        <v>9</v>
      </c>
      <c r="C13" s="31" t="s">
        <v>208</v>
      </c>
      <c r="D13" s="61">
        <v>3</v>
      </c>
      <c r="E13" s="290" t="s">
        <v>1761</v>
      </c>
      <c r="F13" s="477">
        <v>1311.8440779610196</v>
      </c>
      <c r="G13" s="234"/>
      <c r="H13" s="234"/>
      <c r="I13" s="234">
        <v>48.192947773836408</v>
      </c>
      <c r="J13" s="234">
        <v>862.06896551724139</v>
      </c>
      <c r="K13" s="234">
        <v>1311.8440779610196</v>
      </c>
      <c r="L13" s="234">
        <v>1311.8440779610196</v>
      </c>
      <c r="M13" s="234">
        <v>7777.7777777777774</v>
      </c>
      <c r="N13" s="234">
        <v>7777.7777777777774</v>
      </c>
      <c r="O13" s="234">
        <f t="shared" si="0"/>
        <v>1311.8440779610196</v>
      </c>
      <c r="P13" s="234">
        <f t="shared" si="1"/>
        <v>7777.7777777777774</v>
      </c>
      <c r="Q13" s="92"/>
      <c r="R13" s="92"/>
      <c r="S13" s="84"/>
      <c r="T13" s="92"/>
      <c r="U13" s="92"/>
      <c r="V13" s="92"/>
      <c r="W13" s="92"/>
      <c r="X13" s="92"/>
      <c r="Y13" s="92"/>
      <c r="Z13" s="92"/>
      <c r="AA13" s="81"/>
      <c r="AB13" s="81"/>
      <c r="AC13" s="81"/>
      <c r="AD13" s="81"/>
      <c r="AE13" s="81"/>
      <c r="AF13" s="81"/>
      <c r="AG13" s="81"/>
      <c r="AH13" s="81"/>
      <c r="AI13" s="81"/>
      <c r="AJ13" s="81"/>
      <c r="AK13" s="81"/>
      <c r="AL13" s="81"/>
      <c r="AM13" s="81"/>
      <c r="AN13" s="81"/>
      <c r="AO13" s="81"/>
    </row>
    <row r="14" spans="2:41">
      <c r="B14" s="9">
        <v>10</v>
      </c>
      <c r="C14" s="31" t="s">
        <v>210</v>
      </c>
      <c r="D14" s="61" t="s">
        <v>571</v>
      </c>
      <c r="E14" s="290" t="s">
        <v>1780</v>
      </c>
      <c r="F14" s="62">
        <v>787106.44677661173</v>
      </c>
      <c r="G14" s="63"/>
      <c r="H14" s="63"/>
      <c r="I14" s="63">
        <v>248.59103296351958</v>
      </c>
      <c r="J14" s="63">
        <v>517241.37931034475</v>
      </c>
      <c r="K14" s="63">
        <v>787106.44677661173</v>
      </c>
      <c r="L14" s="63">
        <v>787106.44677661173</v>
      </c>
      <c r="M14" s="91">
        <v>1000000</v>
      </c>
      <c r="N14" s="91">
        <v>1000000</v>
      </c>
      <c r="O14" s="63">
        <f t="shared" si="0"/>
        <v>787106.44677661173</v>
      </c>
      <c r="P14" s="63">
        <f t="shared" si="1"/>
        <v>1000000</v>
      </c>
      <c r="Q14" s="92"/>
      <c r="R14" s="92"/>
      <c r="S14" s="84"/>
      <c r="T14" s="92"/>
      <c r="U14" s="92"/>
      <c r="V14" s="92"/>
      <c r="W14" s="92"/>
      <c r="X14" s="92"/>
      <c r="Y14" s="92"/>
      <c r="Z14" s="92"/>
      <c r="AA14" s="81"/>
      <c r="AB14" s="81"/>
      <c r="AC14" s="81"/>
      <c r="AD14" s="81"/>
      <c r="AE14" s="81"/>
      <c r="AF14" s="81"/>
      <c r="AG14" s="81"/>
      <c r="AH14" s="81"/>
      <c r="AI14" s="81"/>
      <c r="AJ14" s="81"/>
      <c r="AK14" s="81"/>
      <c r="AL14" s="81"/>
      <c r="AM14" s="81"/>
      <c r="AN14" s="81"/>
      <c r="AO14" s="81"/>
    </row>
    <row r="15" spans="2:41">
      <c r="B15" s="9">
        <v>11</v>
      </c>
      <c r="C15" s="31" t="s">
        <v>211</v>
      </c>
      <c r="D15" s="491" t="s">
        <v>572</v>
      </c>
      <c r="E15" s="290" t="s">
        <v>1784</v>
      </c>
      <c r="F15" s="595">
        <v>2317.2712108477717</v>
      </c>
      <c r="G15" s="594"/>
      <c r="H15" s="594"/>
      <c r="I15" s="594">
        <v>127.23937117690157</v>
      </c>
      <c r="J15" s="594">
        <v>1473.6885195570746</v>
      </c>
      <c r="K15" s="594">
        <v>2317.2712108477717</v>
      </c>
      <c r="L15" s="594">
        <v>2317.2712108477717</v>
      </c>
      <c r="M15" s="594">
        <v>11636.363636363636</v>
      </c>
      <c r="N15" s="594">
        <v>10926.829268292682</v>
      </c>
      <c r="O15" s="594">
        <f t="shared" si="0"/>
        <v>2317.2712108477717</v>
      </c>
      <c r="P15" s="594">
        <f t="shared" si="1"/>
        <v>10926.829268292682</v>
      </c>
      <c r="Q15" s="92"/>
      <c r="R15" s="92"/>
      <c r="S15" s="84"/>
      <c r="T15" s="92"/>
      <c r="U15" s="92"/>
      <c r="V15" s="92"/>
      <c r="W15" s="92"/>
      <c r="X15" s="92"/>
      <c r="Y15" s="92"/>
      <c r="Z15" s="92"/>
      <c r="AA15" s="81"/>
      <c r="AB15" s="81"/>
      <c r="AC15" s="81"/>
      <c r="AD15" s="81"/>
      <c r="AE15" s="81"/>
      <c r="AF15" s="81"/>
      <c r="AG15" s="81"/>
      <c r="AH15" s="81"/>
      <c r="AI15" s="81"/>
      <c r="AJ15" s="81"/>
      <c r="AK15" s="81"/>
      <c r="AL15" s="81"/>
      <c r="AM15" s="81"/>
      <c r="AN15" s="81"/>
      <c r="AO15" s="81"/>
    </row>
    <row r="16" spans="2:41">
      <c r="B16" s="9">
        <v>12</v>
      </c>
      <c r="C16" s="31" t="s">
        <v>338</v>
      </c>
      <c r="D16" s="61" t="s">
        <v>571</v>
      </c>
      <c r="E16" s="290" t="s">
        <v>1467</v>
      </c>
      <c r="F16" s="231">
        <v>86.61</v>
      </c>
      <c r="G16" s="310"/>
      <c r="H16" s="310"/>
      <c r="I16" s="309">
        <v>0.13</v>
      </c>
      <c r="J16" s="309">
        <v>0.18</v>
      </c>
      <c r="K16" s="309">
        <v>5.5</v>
      </c>
      <c r="L16" s="309">
        <v>4.0599999999999996</v>
      </c>
      <c r="M16" s="309">
        <v>1.2</v>
      </c>
      <c r="N16" s="309">
        <v>4.0999999999999996</v>
      </c>
      <c r="O16" s="234">
        <f t="shared" si="0"/>
        <v>1.2</v>
      </c>
      <c r="P16" s="234">
        <f t="shared" si="1"/>
        <v>1.2</v>
      </c>
      <c r="Q16" s="92"/>
      <c r="R16" s="92"/>
      <c r="S16" s="84"/>
      <c r="T16" s="92"/>
      <c r="U16" s="92"/>
      <c r="V16" s="92"/>
      <c r="W16" s="92"/>
      <c r="X16" s="92"/>
      <c r="Y16" s="92"/>
      <c r="Z16" s="92"/>
      <c r="AA16" s="81"/>
      <c r="AB16" s="81"/>
      <c r="AC16" s="81"/>
      <c r="AD16" s="81"/>
      <c r="AE16" s="81"/>
      <c r="AF16" s="81"/>
      <c r="AG16" s="81"/>
      <c r="AH16" s="81"/>
      <c r="AI16" s="81"/>
      <c r="AJ16" s="81"/>
      <c r="AK16" s="81"/>
      <c r="AL16" s="81"/>
      <c r="AM16" s="81"/>
      <c r="AN16" s="81"/>
      <c r="AO16" s="81"/>
    </row>
    <row r="17" spans="2:41">
      <c r="B17" s="9">
        <v>13</v>
      </c>
      <c r="C17" s="95" t="s">
        <v>508</v>
      </c>
      <c r="D17" s="61">
        <v>1</v>
      </c>
      <c r="E17" s="290" t="s">
        <v>1740</v>
      </c>
      <c r="F17" s="232">
        <v>2.292976098775108</v>
      </c>
      <c r="G17" s="475"/>
      <c r="H17" s="475"/>
      <c r="I17" s="231">
        <v>0.24</v>
      </c>
      <c r="J17" s="231">
        <v>1.5</v>
      </c>
      <c r="K17" s="308">
        <v>1.9708711540172672</v>
      </c>
      <c r="L17" s="234">
        <v>2.292976098775108</v>
      </c>
      <c r="M17" s="234">
        <v>11.287458760941648</v>
      </c>
      <c r="N17" s="234">
        <v>8.938334094015369</v>
      </c>
      <c r="O17" s="234">
        <f>MIN(K17,L17,M17,N17)</f>
        <v>1.9708711540172672</v>
      </c>
      <c r="P17" s="234">
        <f t="shared" si="1"/>
        <v>8.938334094015369</v>
      </c>
      <c r="Q17" s="92"/>
      <c r="R17" s="92"/>
      <c r="S17" s="84"/>
      <c r="T17" s="92"/>
      <c r="U17" s="92"/>
      <c r="V17" s="92"/>
      <c r="W17" s="92"/>
      <c r="X17" s="92"/>
      <c r="Y17" s="92"/>
      <c r="Z17" s="92"/>
      <c r="AA17" s="81"/>
      <c r="AB17" s="81"/>
      <c r="AC17" s="81"/>
      <c r="AD17" s="81"/>
      <c r="AE17" s="81"/>
      <c r="AF17" s="81"/>
      <c r="AG17" s="81"/>
      <c r="AH17" s="81"/>
      <c r="AI17" s="81"/>
      <c r="AJ17" s="81"/>
      <c r="AK17" s="81"/>
      <c r="AL17" s="81"/>
      <c r="AM17" s="81"/>
      <c r="AN17" s="81"/>
      <c r="AO17" s="81"/>
    </row>
    <row r="18" spans="2:41">
      <c r="B18" s="9">
        <v>14</v>
      </c>
      <c r="C18" s="31" t="s">
        <v>66</v>
      </c>
      <c r="D18" s="61" t="s">
        <v>571</v>
      </c>
      <c r="E18" s="290" t="s">
        <v>1612</v>
      </c>
      <c r="F18" s="234">
        <v>76.740150779816702</v>
      </c>
      <c r="G18" s="234"/>
      <c r="H18" s="234"/>
      <c r="I18" s="234">
        <v>1.9927901292363865</v>
      </c>
      <c r="J18" s="234">
        <v>23.217794711490196</v>
      </c>
      <c r="K18" s="234">
        <v>27.370766179745321</v>
      </c>
      <c r="L18" s="234">
        <v>76.740150779816702</v>
      </c>
      <c r="M18" s="234">
        <v>68.367053758551492</v>
      </c>
      <c r="N18" s="234">
        <v>86.923051083846687</v>
      </c>
      <c r="O18" s="234">
        <f>MIN(K18,L18,M18,N18)</f>
        <v>27.370766179745321</v>
      </c>
      <c r="P18" s="234">
        <f t="shared" si="1"/>
        <v>68.367053758551492</v>
      </c>
      <c r="Q18" s="92"/>
      <c r="R18" s="92"/>
      <c r="S18" s="84"/>
      <c r="T18" s="92"/>
      <c r="U18" s="92"/>
      <c r="V18" s="92"/>
      <c r="W18" s="92"/>
      <c r="X18" s="92"/>
      <c r="Y18" s="92"/>
      <c r="Z18" s="92"/>
      <c r="AA18" s="81"/>
      <c r="AB18" s="81"/>
      <c r="AC18" s="81"/>
      <c r="AD18" s="81"/>
      <c r="AE18" s="81"/>
      <c r="AF18" s="81"/>
      <c r="AG18" s="81"/>
      <c r="AH18" s="81"/>
      <c r="AI18" s="81"/>
      <c r="AJ18" s="81"/>
      <c r="AK18" s="81"/>
      <c r="AL18" s="81"/>
      <c r="AM18" s="81"/>
      <c r="AN18" s="81"/>
      <c r="AO18" s="81"/>
    </row>
    <row r="19" spans="2:41" ht="16.899999999999999" customHeight="1">
      <c r="B19" s="9">
        <v>15</v>
      </c>
      <c r="C19" s="31" t="s">
        <v>71</v>
      </c>
      <c r="D19" s="61">
        <v>3</v>
      </c>
      <c r="E19" s="290" t="s">
        <v>1479</v>
      </c>
      <c r="F19" s="234">
        <v>11444.746301870167</v>
      </c>
      <c r="G19" s="234"/>
      <c r="H19" s="234"/>
      <c r="I19" s="234">
        <v>9.7555378690679326</v>
      </c>
      <c r="J19" s="234">
        <v>210.23461353419989</v>
      </c>
      <c r="K19" s="234">
        <v>282.91816156700673</v>
      </c>
      <c r="L19" s="234">
        <v>11444.746301870167</v>
      </c>
      <c r="M19" s="234">
        <v>11246.941482159387</v>
      </c>
      <c r="N19" s="234">
        <v>34406.818303919157</v>
      </c>
      <c r="O19" s="234">
        <f>MIN(K19,L19,M19,N19)</f>
        <v>282.91816156700673</v>
      </c>
      <c r="P19" s="234">
        <f t="shared" si="1"/>
        <v>11246.941482159387</v>
      </c>
      <c r="Q19" s="92"/>
      <c r="R19" s="92"/>
      <c r="S19" s="84"/>
      <c r="T19" s="92"/>
      <c r="U19" s="92"/>
      <c r="V19" s="92"/>
      <c r="W19" s="92"/>
      <c r="X19" s="92"/>
      <c r="Y19" s="92"/>
      <c r="Z19" s="92"/>
      <c r="AA19" s="81"/>
      <c r="AB19" s="81"/>
      <c r="AC19" s="81"/>
      <c r="AD19" s="81"/>
      <c r="AE19" s="81"/>
      <c r="AF19" s="81"/>
      <c r="AG19" s="81"/>
      <c r="AH19" s="81"/>
      <c r="AI19" s="81"/>
      <c r="AJ19" s="81"/>
      <c r="AK19" s="81"/>
      <c r="AL19" s="81"/>
      <c r="AM19" s="81"/>
      <c r="AN19" s="81"/>
      <c r="AO19" s="81"/>
    </row>
    <row r="20" spans="2:41" ht="16.899999999999999" customHeight="1">
      <c r="B20" s="9">
        <v>16</v>
      </c>
      <c r="C20" s="31" t="s">
        <v>72</v>
      </c>
      <c r="D20" s="61">
        <v>3</v>
      </c>
      <c r="E20" s="290" t="s">
        <v>1483</v>
      </c>
      <c r="F20" s="459"/>
      <c r="G20" s="459"/>
      <c r="H20" s="459"/>
      <c r="I20" s="459"/>
      <c r="J20" s="459"/>
      <c r="K20" s="459"/>
      <c r="L20" s="459"/>
      <c r="M20" s="459"/>
      <c r="N20" s="459"/>
      <c r="O20" s="459"/>
      <c r="P20" s="459"/>
      <c r="Q20" s="92"/>
      <c r="R20" s="92"/>
      <c r="S20" s="84"/>
      <c r="T20" s="92"/>
      <c r="U20" s="92"/>
      <c r="V20" s="92"/>
      <c r="W20" s="92"/>
      <c r="X20" s="92"/>
      <c r="Y20" s="92"/>
      <c r="Z20" s="92"/>
      <c r="AA20" s="81"/>
      <c r="AB20" s="81"/>
      <c r="AC20" s="81"/>
      <c r="AD20" s="81"/>
      <c r="AE20" s="81"/>
      <c r="AF20" s="81"/>
      <c r="AG20" s="81"/>
      <c r="AH20" s="81"/>
      <c r="AI20" s="81"/>
      <c r="AJ20" s="81"/>
      <c r="AK20" s="81"/>
      <c r="AL20" s="81"/>
      <c r="AM20" s="81"/>
      <c r="AN20" s="81"/>
      <c r="AO20" s="81"/>
    </row>
    <row r="21" spans="2:41" ht="16.899999999999999" customHeight="1">
      <c r="B21" s="9">
        <v>17</v>
      </c>
      <c r="C21" s="31" t="s">
        <v>73</v>
      </c>
      <c r="D21" s="61" t="s">
        <v>572</v>
      </c>
      <c r="E21" s="290" t="s">
        <v>1484</v>
      </c>
      <c r="F21" s="232">
        <v>10.252448626841929</v>
      </c>
      <c r="G21" s="232"/>
      <c r="H21" s="232"/>
      <c r="I21" s="232">
        <v>9.3598734041801648E-2</v>
      </c>
      <c r="J21" s="232">
        <v>0.53403053823044888</v>
      </c>
      <c r="K21" s="232">
        <v>2.0125133204619421</v>
      </c>
      <c r="L21" s="232">
        <v>10.252448626841929</v>
      </c>
      <c r="M21" s="232">
        <v>2.5387276904593792</v>
      </c>
      <c r="N21" s="232">
        <v>4.5384521745133988</v>
      </c>
      <c r="O21" s="234">
        <f t="shared" ref="O21:O33" si="2">MIN(K21,L21,M21,N21)</f>
        <v>2.0125133204619421</v>
      </c>
      <c r="P21" s="234">
        <f t="shared" si="1"/>
        <v>2.5387276904593792</v>
      </c>
      <c r="Q21" s="92"/>
      <c r="R21" s="92"/>
      <c r="S21" s="84"/>
      <c r="T21" s="92"/>
      <c r="U21" s="92"/>
      <c r="V21" s="92"/>
      <c r="W21" s="92"/>
      <c r="X21" s="92"/>
      <c r="Y21" s="92"/>
      <c r="Z21" s="92"/>
      <c r="AA21" s="81"/>
      <c r="AB21" s="81"/>
      <c r="AC21" s="81"/>
      <c r="AD21" s="81"/>
      <c r="AE21" s="81"/>
      <c r="AF21" s="81"/>
      <c r="AG21" s="81"/>
      <c r="AH21" s="81"/>
      <c r="AI21" s="81"/>
      <c r="AJ21" s="81"/>
      <c r="AK21" s="81"/>
      <c r="AL21" s="81"/>
      <c r="AM21" s="81"/>
      <c r="AN21" s="81"/>
      <c r="AO21" s="81"/>
    </row>
    <row r="22" spans="2:41">
      <c r="B22" s="9">
        <v>18</v>
      </c>
      <c r="C22" s="31" t="s">
        <v>85</v>
      </c>
      <c r="D22" s="61" t="s">
        <v>571</v>
      </c>
      <c r="E22" s="290" t="s">
        <v>1471</v>
      </c>
      <c r="F22" s="232">
        <v>126.90897660362084</v>
      </c>
      <c r="G22" s="232"/>
      <c r="H22" s="232"/>
      <c r="I22" s="232">
        <v>0.27782633254375372</v>
      </c>
      <c r="J22" s="232">
        <v>30.157571186343894</v>
      </c>
      <c r="K22" s="232">
        <v>21.690587696681281</v>
      </c>
      <c r="L22" s="232">
        <v>126.90897660362084</v>
      </c>
      <c r="M22" s="232">
        <v>86.756843115663557</v>
      </c>
      <c r="N22" s="232">
        <v>92.13212521888029</v>
      </c>
      <c r="O22" s="234">
        <f t="shared" si="2"/>
        <v>21.690587696681281</v>
      </c>
      <c r="P22" s="234">
        <f t="shared" si="1"/>
        <v>86.756843115663557</v>
      </c>
      <c r="Q22" s="92"/>
      <c r="R22" s="92"/>
      <c r="S22" s="84"/>
      <c r="T22" s="92"/>
      <c r="U22" s="92"/>
      <c r="V22" s="92"/>
      <c r="W22" s="92"/>
      <c r="X22" s="92"/>
      <c r="Y22" s="92"/>
      <c r="Z22" s="92"/>
      <c r="AA22" s="81"/>
      <c r="AB22" s="81"/>
      <c r="AC22" s="81"/>
      <c r="AD22" s="81"/>
      <c r="AE22" s="81"/>
      <c r="AF22" s="81"/>
      <c r="AG22" s="81"/>
      <c r="AH22" s="81"/>
      <c r="AI22" s="81"/>
      <c r="AJ22" s="81"/>
      <c r="AK22" s="81"/>
      <c r="AL22" s="81"/>
      <c r="AM22" s="81"/>
      <c r="AN22" s="81"/>
      <c r="AO22" s="81"/>
    </row>
    <row r="23" spans="2:41">
      <c r="B23" s="9">
        <v>19</v>
      </c>
      <c r="C23" s="31" t="s">
        <v>86</v>
      </c>
      <c r="D23" s="61" t="s">
        <v>571</v>
      </c>
      <c r="E23" s="290" t="s">
        <v>1472</v>
      </c>
      <c r="F23" s="232">
        <v>128.63373841076694</v>
      </c>
      <c r="G23" s="232"/>
      <c r="H23" s="232"/>
      <c r="I23" s="232">
        <v>0.30645808141444036</v>
      </c>
      <c r="J23" s="232">
        <v>13.061481268495797</v>
      </c>
      <c r="K23" s="232">
        <v>22.986240622065448</v>
      </c>
      <c r="L23" s="232">
        <v>128.63373841076694</v>
      </c>
      <c r="M23" s="232">
        <v>46.258626773888167</v>
      </c>
      <c r="N23" s="232">
        <v>75.510766415049602</v>
      </c>
      <c r="O23" s="234">
        <f t="shared" si="2"/>
        <v>22.986240622065448</v>
      </c>
      <c r="P23" s="234">
        <f t="shared" si="1"/>
        <v>46.258626773888167</v>
      </c>
      <c r="Q23" s="92"/>
      <c r="R23" s="92"/>
      <c r="S23" s="84"/>
      <c r="T23" s="92"/>
      <c r="U23" s="92"/>
      <c r="V23" s="92"/>
      <c r="W23" s="92"/>
      <c r="X23" s="92"/>
      <c r="Y23" s="92"/>
      <c r="Z23" s="92"/>
      <c r="AA23" s="81"/>
      <c r="AB23" s="81"/>
      <c r="AC23" s="81"/>
      <c r="AD23" s="81"/>
      <c r="AE23" s="81"/>
      <c r="AF23" s="81"/>
      <c r="AG23" s="81"/>
      <c r="AH23" s="81"/>
      <c r="AI23" s="81"/>
      <c r="AJ23" s="81"/>
      <c r="AK23" s="81"/>
      <c r="AL23" s="81"/>
      <c r="AM23" s="81"/>
      <c r="AN23" s="81"/>
      <c r="AO23" s="81"/>
    </row>
    <row r="24" spans="2:41">
      <c r="B24" s="9">
        <v>20</v>
      </c>
      <c r="C24" s="31" t="s">
        <v>87</v>
      </c>
      <c r="D24" s="61" t="s">
        <v>571</v>
      </c>
      <c r="E24" s="290" t="s">
        <v>1480</v>
      </c>
      <c r="F24" s="234">
        <v>147.84931461056794</v>
      </c>
      <c r="G24" s="234"/>
      <c r="H24" s="234"/>
      <c r="I24" s="234">
        <v>0.40377287980398902</v>
      </c>
      <c r="J24" s="234">
        <v>5.3179662306540658</v>
      </c>
      <c r="K24" s="234">
        <v>27.052944560578638</v>
      </c>
      <c r="L24" s="234">
        <v>147.84931461056794</v>
      </c>
      <c r="M24" s="234">
        <v>21.255426013982952</v>
      </c>
      <c r="N24" s="234">
        <v>52.683954909324463</v>
      </c>
      <c r="O24" s="234">
        <f t="shared" si="2"/>
        <v>21.255426013982952</v>
      </c>
      <c r="P24" s="234">
        <f t="shared" si="1"/>
        <v>21.255426013982952</v>
      </c>
      <c r="Q24" s="92"/>
      <c r="R24" s="92"/>
      <c r="S24" s="84"/>
      <c r="T24" s="92"/>
      <c r="U24" s="92"/>
      <c r="V24" s="92"/>
      <c r="W24" s="92"/>
      <c r="X24" s="92"/>
      <c r="Y24" s="92"/>
      <c r="Z24" s="92"/>
      <c r="AA24" s="81"/>
      <c r="AB24" s="81"/>
      <c r="AC24" s="81"/>
      <c r="AD24" s="81"/>
      <c r="AE24" s="81"/>
      <c r="AF24" s="81"/>
      <c r="AG24" s="81"/>
      <c r="AH24" s="81"/>
      <c r="AI24" s="81"/>
      <c r="AJ24" s="81"/>
      <c r="AK24" s="81"/>
      <c r="AL24" s="81"/>
      <c r="AM24" s="81"/>
      <c r="AN24" s="81"/>
      <c r="AO24" s="81"/>
    </row>
    <row r="25" spans="2:41">
      <c r="B25" s="9">
        <v>21</v>
      </c>
      <c r="C25" s="31" t="s">
        <v>115</v>
      </c>
      <c r="D25" s="61" t="s">
        <v>571</v>
      </c>
      <c r="E25" s="290" t="s">
        <v>1469</v>
      </c>
      <c r="F25" s="234">
        <v>719.08650324793223</v>
      </c>
      <c r="G25" s="234"/>
      <c r="H25" s="234"/>
      <c r="I25" s="234">
        <v>0.65534271268653088</v>
      </c>
      <c r="J25" s="234">
        <v>264.79098784237266</v>
      </c>
      <c r="K25" s="234">
        <v>94.331133600684552</v>
      </c>
      <c r="L25" s="234">
        <v>719.08650324793223</v>
      </c>
      <c r="M25" s="234">
        <v>3868.6495833624222</v>
      </c>
      <c r="N25" s="234">
        <v>2866.9930424200111</v>
      </c>
      <c r="O25" s="234">
        <f t="shared" si="2"/>
        <v>94.331133600684552</v>
      </c>
      <c r="P25" s="234">
        <f t="shared" si="1"/>
        <v>2866.9930424200111</v>
      </c>
      <c r="Q25" s="92"/>
      <c r="R25" s="92"/>
      <c r="S25" s="84"/>
      <c r="T25" s="92"/>
      <c r="U25" s="92"/>
      <c r="V25" s="92"/>
      <c r="W25" s="92"/>
      <c r="X25" s="92"/>
      <c r="Y25" s="92"/>
      <c r="Z25" s="92"/>
      <c r="AA25" s="81"/>
      <c r="AB25" s="81"/>
      <c r="AC25" s="81"/>
      <c r="AD25" s="81"/>
      <c r="AE25" s="81"/>
      <c r="AF25" s="81"/>
      <c r="AG25" s="81"/>
      <c r="AH25" s="81"/>
      <c r="AI25" s="81"/>
      <c r="AJ25" s="81"/>
      <c r="AK25" s="81"/>
      <c r="AL25" s="81"/>
      <c r="AM25" s="81"/>
      <c r="AN25" s="81"/>
      <c r="AO25" s="81"/>
    </row>
    <row r="26" spans="2:41">
      <c r="B26" s="9">
        <v>22</v>
      </c>
      <c r="C26" s="31" t="s">
        <v>116</v>
      </c>
      <c r="D26" s="61" t="s">
        <v>571</v>
      </c>
      <c r="E26" s="290" t="s">
        <v>1474</v>
      </c>
      <c r="F26" s="63">
        <v>37.608622134434668</v>
      </c>
      <c r="G26" s="98"/>
      <c r="H26" s="98"/>
      <c r="I26" s="98">
        <v>1.4490957168462656E-2</v>
      </c>
      <c r="J26" s="63">
        <v>3.668696596300046</v>
      </c>
      <c r="K26" s="63">
        <v>2.1722360715247473</v>
      </c>
      <c r="L26" s="63">
        <v>37.608622134434668</v>
      </c>
      <c r="M26" s="63">
        <v>148.79163803926141</v>
      </c>
      <c r="N26" s="63">
        <v>110.26705361566367</v>
      </c>
      <c r="O26" s="63">
        <f t="shared" si="2"/>
        <v>2.1722360715247473</v>
      </c>
      <c r="P26" s="63">
        <f t="shared" si="1"/>
        <v>110.26705361566367</v>
      </c>
      <c r="Q26" s="92"/>
      <c r="R26" s="99"/>
      <c r="S26" s="99"/>
      <c r="T26" s="99"/>
      <c r="U26" s="92"/>
      <c r="V26" s="92"/>
      <c r="W26" s="92"/>
      <c r="X26" s="92"/>
      <c r="Y26" s="92"/>
      <c r="Z26" s="92"/>
      <c r="AA26" s="81"/>
      <c r="AB26" s="81"/>
      <c r="AC26" s="81"/>
      <c r="AD26" s="81"/>
      <c r="AE26" s="81"/>
      <c r="AF26" s="81"/>
      <c r="AG26" s="81"/>
      <c r="AH26" s="81"/>
      <c r="AI26" s="81"/>
      <c r="AJ26" s="81"/>
      <c r="AK26" s="81"/>
      <c r="AL26" s="81"/>
      <c r="AM26" s="81"/>
      <c r="AN26" s="81"/>
      <c r="AO26" s="81"/>
    </row>
    <row r="27" spans="2:41">
      <c r="B27" s="9">
        <v>23</v>
      </c>
      <c r="C27" s="31" t="s">
        <v>117</v>
      </c>
      <c r="D27" s="61" t="s">
        <v>571</v>
      </c>
      <c r="E27" s="290" t="s">
        <v>1742</v>
      </c>
      <c r="F27" s="234">
        <v>177.80583253919704</v>
      </c>
      <c r="G27" s="234"/>
      <c r="H27" s="234"/>
      <c r="I27" s="234">
        <v>0.3320707386275138</v>
      </c>
      <c r="J27" s="234">
        <v>97.215049104057073</v>
      </c>
      <c r="K27" s="234">
        <v>105.91196301318126</v>
      </c>
      <c r="L27" s="234">
        <v>177.80583253919704</v>
      </c>
      <c r="M27" s="234">
        <v>1039.1276501872128</v>
      </c>
      <c r="N27" s="234">
        <v>770.08053561771737</v>
      </c>
      <c r="O27" s="234">
        <f t="shared" si="2"/>
        <v>105.91196301318126</v>
      </c>
      <c r="P27" s="234">
        <f t="shared" si="1"/>
        <v>770.08053561771737</v>
      </c>
      <c r="Q27" s="92"/>
      <c r="R27" s="92"/>
      <c r="S27" s="84"/>
      <c r="T27" s="92"/>
      <c r="U27" s="92"/>
      <c r="V27" s="92"/>
      <c r="W27" s="92"/>
      <c r="X27" s="92"/>
      <c r="Y27" s="92"/>
      <c r="Z27" s="92"/>
      <c r="AA27" s="81"/>
      <c r="AB27" s="81"/>
      <c r="AC27" s="81"/>
      <c r="AD27" s="81"/>
      <c r="AE27" s="81"/>
      <c r="AF27" s="81"/>
      <c r="AG27" s="81"/>
      <c r="AH27" s="81"/>
      <c r="AI27" s="81"/>
      <c r="AJ27" s="81"/>
      <c r="AK27" s="81"/>
      <c r="AL27" s="81"/>
      <c r="AM27" s="81"/>
      <c r="AN27" s="81"/>
      <c r="AO27" s="81"/>
    </row>
    <row r="28" spans="2:41">
      <c r="B28" s="9">
        <v>24</v>
      </c>
      <c r="C28" s="31" t="s">
        <v>118</v>
      </c>
      <c r="D28" s="491" t="s">
        <v>573</v>
      </c>
      <c r="E28" s="292" t="s">
        <v>1680</v>
      </c>
      <c r="F28" s="234">
        <v>4.3721722582391678</v>
      </c>
      <c r="G28" s="229"/>
      <c r="H28" s="229"/>
      <c r="I28" s="229">
        <v>1.4325919574231919E-3</v>
      </c>
      <c r="J28" s="234">
        <v>0.74422317870125643</v>
      </c>
      <c r="K28" s="234">
        <v>0.94348421373376523</v>
      </c>
      <c r="L28" s="234">
        <v>4.3721722582391678</v>
      </c>
      <c r="M28" s="234">
        <v>8.1220134156425594</v>
      </c>
      <c r="N28" s="234">
        <v>6.5648626620547468</v>
      </c>
      <c r="O28" s="234">
        <f t="shared" si="2"/>
        <v>0.94348421373376523</v>
      </c>
      <c r="P28" s="234">
        <f t="shared" si="1"/>
        <v>6.5648626620547468</v>
      </c>
      <c r="Q28" s="99"/>
      <c r="R28" s="99"/>
      <c r="S28" s="99"/>
      <c r="T28" s="99"/>
      <c r="U28" s="99"/>
      <c r="V28" s="92"/>
      <c r="W28" s="92"/>
      <c r="X28" s="92"/>
      <c r="Y28" s="92"/>
      <c r="Z28" s="92"/>
      <c r="AA28" s="81"/>
      <c r="AB28" s="81"/>
      <c r="AC28" s="81"/>
      <c r="AD28" s="81"/>
      <c r="AE28" s="81"/>
      <c r="AF28" s="81"/>
      <c r="AG28" s="81"/>
      <c r="AH28" s="81"/>
      <c r="AI28" s="81"/>
      <c r="AJ28" s="81"/>
      <c r="AK28" s="81"/>
      <c r="AL28" s="81"/>
      <c r="AM28" s="81"/>
      <c r="AN28" s="81"/>
      <c r="AO28" s="81"/>
    </row>
    <row r="29" spans="2:41">
      <c r="B29" s="9">
        <v>25</v>
      </c>
      <c r="C29" s="31" t="s">
        <v>88</v>
      </c>
      <c r="D29" s="61" t="s">
        <v>571</v>
      </c>
      <c r="E29" s="290" t="s">
        <v>1623</v>
      </c>
      <c r="F29" s="234">
        <v>143.91353377346061</v>
      </c>
      <c r="G29" s="234"/>
      <c r="H29" s="234"/>
      <c r="I29" s="234">
        <v>3.0157106254844033</v>
      </c>
      <c r="J29" s="234">
        <v>71.604163938232048</v>
      </c>
      <c r="K29" s="234">
        <v>106.69679174687339</v>
      </c>
      <c r="L29" s="234">
        <v>143.9090743189488</v>
      </c>
      <c r="M29" s="234">
        <v>208.78403886473112</v>
      </c>
      <c r="N29" s="234">
        <v>261.38105461487788</v>
      </c>
      <c r="O29" s="234">
        <f t="shared" si="2"/>
        <v>106.69679174687339</v>
      </c>
      <c r="P29" s="234">
        <f t="shared" si="1"/>
        <v>208.78403886473112</v>
      </c>
      <c r="Q29" s="92"/>
      <c r="R29" s="92"/>
      <c r="S29" s="84"/>
      <c r="T29" s="92"/>
      <c r="U29" s="92"/>
      <c r="V29" s="92"/>
      <c r="W29" s="92"/>
      <c r="X29" s="92"/>
      <c r="Y29" s="92"/>
      <c r="Z29" s="92"/>
      <c r="AA29" s="81"/>
      <c r="AB29" s="81"/>
      <c r="AC29" s="81"/>
      <c r="AD29" s="81"/>
      <c r="AE29" s="81"/>
      <c r="AF29" s="81"/>
      <c r="AG29" s="81"/>
      <c r="AH29" s="81"/>
      <c r="AI29" s="81"/>
      <c r="AJ29" s="81"/>
      <c r="AK29" s="81"/>
      <c r="AL29" s="81"/>
      <c r="AM29" s="81"/>
      <c r="AN29" s="81"/>
      <c r="AO29" s="81"/>
    </row>
    <row r="30" spans="2:41">
      <c r="B30" s="9">
        <v>26</v>
      </c>
      <c r="C30" s="31" t="s">
        <v>89</v>
      </c>
      <c r="D30" s="61" t="s">
        <v>571</v>
      </c>
      <c r="E30" s="290" t="s">
        <v>1622</v>
      </c>
      <c r="F30" s="234">
        <v>157.68387330568584</v>
      </c>
      <c r="G30" s="234"/>
      <c r="H30" s="234"/>
      <c r="I30" s="234">
        <v>3.3085100059707715</v>
      </c>
      <c r="J30" s="234">
        <v>78.631477122365027</v>
      </c>
      <c r="K30" s="234">
        <v>116.98625882150668</v>
      </c>
      <c r="L30" s="234">
        <v>157.67523256813337</v>
      </c>
      <c r="M30" s="234">
        <v>229.30192152958026</v>
      </c>
      <c r="N30" s="234">
        <v>286.78374138533718</v>
      </c>
      <c r="O30" s="234">
        <f t="shared" si="2"/>
        <v>116.98625882150668</v>
      </c>
      <c r="P30" s="234">
        <f t="shared" si="1"/>
        <v>229.30192152958026</v>
      </c>
      <c r="Q30" s="92"/>
      <c r="R30" s="92"/>
      <c r="S30" s="84"/>
      <c r="T30" s="92"/>
      <c r="U30" s="92"/>
      <c r="V30" s="92"/>
      <c r="W30" s="92"/>
      <c r="X30" s="92"/>
      <c r="Y30" s="92"/>
      <c r="Z30" s="92"/>
      <c r="AA30" s="81"/>
      <c r="AB30" s="81"/>
      <c r="AC30" s="81"/>
      <c r="AD30" s="81"/>
      <c r="AE30" s="81"/>
      <c r="AF30" s="81"/>
      <c r="AG30" s="81"/>
      <c r="AH30" s="81"/>
      <c r="AI30" s="81"/>
      <c r="AJ30" s="81"/>
      <c r="AK30" s="81"/>
      <c r="AL30" s="81"/>
      <c r="AM30" s="81"/>
      <c r="AN30" s="81"/>
      <c r="AO30" s="81"/>
    </row>
    <row r="31" spans="2:41">
      <c r="B31" s="9">
        <v>27</v>
      </c>
      <c r="C31" s="31" t="s">
        <v>90</v>
      </c>
      <c r="D31" s="61" t="s">
        <v>571</v>
      </c>
      <c r="E31" s="290" t="s">
        <v>1621</v>
      </c>
      <c r="F31" s="234">
        <v>422.64640339980201</v>
      </c>
      <c r="G31" s="234"/>
      <c r="H31" s="234"/>
      <c r="I31" s="234">
        <v>9.1493272197136903</v>
      </c>
      <c r="J31" s="234">
        <v>212.16166415090552</v>
      </c>
      <c r="K31" s="234">
        <v>317.02461816239077</v>
      </c>
      <c r="L31" s="234">
        <v>422.6267197314944</v>
      </c>
      <c r="M31" s="234">
        <v>626.24863638748423</v>
      </c>
      <c r="N31" s="234">
        <v>781.13274540118834</v>
      </c>
      <c r="O31" s="234">
        <f t="shared" si="2"/>
        <v>317.02461816239077</v>
      </c>
      <c r="P31" s="234">
        <f t="shared" si="1"/>
        <v>626.24863638748423</v>
      </c>
      <c r="Q31" s="92"/>
      <c r="R31" s="92"/>
      <c r="S31" s="84"/>
      <c r="T31" s="92"/>
      <c r="U31" s="92"/>
      <c r="V31" s="92"/>
      <c r="W31" s="92"/>
      <c r="X31" s="92"/>
      <c r="Y31" s="92"/>
      <c r="Z31" s="92"/>
      <c r="AA31" s="81"/>
      <c r="AB31" s="81"/>
      <c r="AC31" s="81"/>
      <c r="AD31" s="81"/>
      <c r="AE31" s="81"/>
      <c r="AF31" s="81"/>
      <c r="AG31" s="81"/>
      <c r="AH31" s="81"/>
      <c r="AI31" s="81"/>
      <c r="AJ31" s="81"/>
      <c r="AK31" s="81"/>
      <c r="AL31" s="81"/>
      <c r="AM31" s="81"/>
      <c r="AN31" s="81"/>
      <c r="AO31" s="81"/>
    </row>
    <row r="32" spans="2:41" ht="30.6" customHeight="1">
      <c r="B32" s="9">
        <v>28</v>
      </c>
      <c r="C32" s="95" t="s">
        <v>340</v>
      </c>
      <c r="D32" s="61" t="s">
        <v>571</v>
      </c>
      <c r="E32" s="292" t="s">
        <v>1766</v>
      </c>
      <c r="F32" s="528">
        <v>212.46563620291769</v>
      </c>
      <c r="G32" s="528"/>
      <c r="H32" s="528"/>
      <c r="I32" s="528">
        <v>4.5026731880205668</v>
      </c>
      <c r="J32" s="528">
        <v>106.10451759917115</v>
      </c>
      <c r="K32" s="528">
        <v>158.17083253332001</v>
      </c>
      <c r="L32" s="528">
        <v>212.45626239859931</v>
      </c>
      <c r="M32" s="528">
        <v>310.65899097481326</v>
      </c>
      <c r="N32" s="528">
        <v>388.31529065313794</v>
      </c>
      <c r="O32" s="528">
        <f t="shared" si="2"/>
        <v>158.17083253332001</v>
      </c>
      <c r="P32" s="528">
        <f t="shared" si="1"/>
        <v>310.65899097481326</v>
      </c>
      <c r="Q32" s="92"/>
      <c r="R32" s="92"/>
      <c r="S32" s="84"/>
      <c r="T32" s="92"/>
      <c r="U32" s="92"/>
      <c r="V32" s="92"/>
      <c r="W32" s="92"/>
      <c r="X32" s="92"/>
      <c r="Y32" s="92"/>
      <c r="Z32" s="92"/>
      <c r="AA32" s="81"/>
      <c r="AB32" s="81"/>
      <c r="AC32" s="81"/>
      <c r="AD32" s="81"/>
      <c r="AE32" s="81"/>
      <c r="AF32" s="81"/>
      <c r="AG32" s="81"/>
      <c r="AH32" s="81"/>
      <c r="AI32" s="81"/>
      <c r="AJ32" s="81"/>
      <c r="AK32" s="81"/>
      <c r="AL32" s="81"/>
      <c r="AM32" s="81"/>
      <c r="AN32" s="81"/>
      <c r="AO32" s="81"/>
    </row>
    <row r="33" spans="2:41">
      <c r="B33" s="9">
        <v>29</v>
      </c>
      <c r="C33" s="31" t="s">
        <v>91</v>
      </c>
      <c r="D33" s="61" t="s">
        <v>571</v>
      </c>
      <c r="E33" s="454" t="s">
        <v>1543</v>
      </c>
      <c r="F33" s="63">
        <v>4670.6049207358301</v>
      </c>
      <c r="G33" s="63"/>
      <c r="H33" s="63"/>
      <c r="I33" s="63">
        <v>3.9468827298432525</v>
      </c>
      <c r="J33" s="63">
        <v>3200.737449908459</v>
      </c>
      <c r="K33" s="63">
        <v>4670.6049207358301</v>
      </c>
      <c r="L33" s="63">
        <v>4670.6049207358301</v>
      </c>
      <c r="M33" s="63">
        <v>28826.526522684046</v>
      </c>
      <c r="N33" s="63">
        <v>21362.868152519542</v>
      </c>
      <c r="O33" s="63">
        <f t="shared" si="2"/>
        <v>4670.6049207358301</v>
      </c>
      <c r="P33" s="63">
        <f t="shared" si="1"/>
        <v>21362.868152519542</v>
      </c>
      <c r="Q33" s="92"/>
      <c r="R33" s="92"/>
      <c r="S33" s="84"/>
      <c r="T33" s="92"/>
      <c r="U33" s="92"/>
      <c r="V33" s="92"/>
      <c r="W33" s="92"/>
      <c r="X33" s="92"/>
      <c r="Y33" s="92"/>
      <c r="Z33" s="92"/>
      <c r="AA33" s="81"/>
      <c r="AB33" s="81"/>
      <c r="AC33" s="81"/>
      <c r="AD33" s="81"/>
      <c r="AE33" s="81"/>
      <c r="AF33" s="81"/>
      <c r="AG33" s="81"/>
      <c r="AH33" s="81"/>
      <c r="AI33" s="81"/>
      <c r="AJ33" s="81"/>
      <c r="AK33" s="81"/>
      <c r="AL33" s="81"/>
      <c r="AM33" s="81"/>
      <c r="AN33" s="81"/>
      <c r="AO33" s="81"/>
    </row>
    <row r="34" spans="2:41">
      <c r="B34" s="9">
        <v>30</v>
      </c>
      <c r="C34" s="31" t="s">
        <v>92</v>
      </c>
      <c r="D34" s="61" t="s">
        <v>571</v>
      </c>
      <c r="E34" s="290" t="s">
        <v>1544</v>
      </c>
      <c r="F34" s="63"/>
      <c r="G34" s="63"/>
      <c r="H34" s="63"/>
      <c r="I34" s="63"/>
      <c r="J34" s="63"/>
      <c r="K34" s="63"/>
      <c r="L34" s="63"/>
      <c r="M34" s="63"/>
      <c r="N34" s="63"/>
      <c r="O34" s="63"/>
      <c r="P34" s="63"/>
      <c r="Q34" s="92"/>
      <c r="R34" s="92"/>
      <c r="S34" s="84"/>
      <c r="T34" s="92"/>
      <c r="U34" s="92"/>
      <c r="V34" s="92"/>
      <c r="W34" s="92"/>
      <c r="X34" s="92"/>
      <c r="Y34" s="92"/>
      <c r="Z34" s="92"/>
      <c r="AA34" s="81"/>
      <c r="AB34" s="81"/>
      <c r="AC34" s="81"/>
      <c r="AD34" s="81"/>
      <c r="AE34" s="81"/>
      <c r="AF34" s="81"/>
      <c r="AG34" s="81"/>
      <c r="AH34" s="81"/>
      <c r="AI34" s="81"/>
      <c r="AJ34" s="81"/>
      <c r="AK34" s="81"/>
      <c r="AL34" s="81"/>
      <c r="AM34" s="81"/>
      <c r="AN34" s="81"/>
      <c r="AO34" s="81"/>
    </row>
    <row r="35" spans="2:41">
      <c r="B35" s="9">
        <v>31</v>
      </c>
      <c r="C35" s="31" t="s">
        <v>93</v>
      </c>
      <c r="D35" s="61" t="s">
        <v>571</v>
      </c>
      <c r="E35" s="290" t="s">
        <v>1545</v>
      </c>
      <c r="F35" s="63">
        <v>140.1181476220749</v>
      </c>
      <c r="G35" s="63"/>
      <c r="H35" s="63"/>
      <c r="I35" s="63">
        <v>6.2492178047313204E-2</v>
      </c>
      <c r="J35" s="63">
        <v>96.022123497253759</v>
      </c>
      <c r="K35" s="63">
        <v>140.1181476220749</v>
      </c>
      <c r="L35" s="63">
        <v>140.1181476220749</v>
      </c>
      <c r="M35" s="63">
        <v>864.79579568052134</v>
      </c>
      <c r="N35" s="63">
        <v>640.8860445755862</v>
      </c>
      <c r="O35" s="63">
        <f>MIN(K35,L35,M35,N35)</f>
        <v>140.1181476220749</v>
      </c>
      <c r="P35" s="63">
        <f t="shared" si="1"/>
        <v>640.8860445755862</v>
      </c>
      <c r="Q35" s="92"/>
      <c r="R35" s="92"/>
      <c r="S35" s="84"/>
      <c r="T35" s="92"/>
      <c r="U35" s="92"/>
      <c r="V35" s="92"/>
      <c r="W35" s="92"/>
      <c r="X35" s="92"/>
      <c r="Y35" s="92"/>
      <c r="Z35" s="92"/>
      <c r="AA35" s="81"/>
      <c r="AB35" s="81"/>
      <c r="AC35" s="81"/>
      <c r="AD35" s="81"/>
      <c r="AE35" s="81"/>
      <c r="AF35" s="81"/>
      <c r="AG35" s="81"/>
      <c r="AH35" s="81"/>
      <c r="AI35" s="81"/>
      <c r="AJ35" s="81"/>
      <c r="AK35" s="81"/>
      <c r="AL35" s="81"/>
      <c r="AM35" s="81"/>
      <c r="AN35" s="81"/>
      <c r="AO35" s="81"/>
    </row>
    <row r="36" spans="2:41">
      <c r="B36" s="9">
        <v>32</v>
      </c>
      <c r="C36" s="31" t="s">
        <v>94</v>
      </c>
      <c r="D36" s="61" t="s">
        <v>571</v>
      </c>
      <c r="E36" s="290" t="s">
        <v>1515</v>
      </c>
      <c r="F36" s="63">
        <v>233.53024603679154</v>
      </c>
      <c r="G36" s="63"/>
      <c r="H36" s="63"/>
      <c r="I36" s="63">
        <v>0.20529203724157971</v>
      </c>
      <c r="J36" s="63">
        <v>160.03687249542293</v>
      </c>
      <c r="K36" s="63">
        <v>233.53024603679154</v>
      </c>
      <c r="L36" s="63">
        <v>233.53024603679154</v>
      </c>
      <c r="M36" s="63">
        <v>1441.3263261342024</v>
      </c>
      <c r="N36" s="63">
        <v>1068.143407625977</v>
      </c>
      <c r="O36" s="63">
        <f>MIN(K36,L36,M36,N36)</f>
        <v>233.53024603679154</v>
      </c>
      <c r="P36" s="63">
        <f t="shared" si="1"/>
        <v>1068.143407625977</v>
      </c>
      <c r="Q36" s="92"/>
      <c r="R36" s="92"/>
      <c r="S36" s="84"/>
      <c r="T36" s="92"/>
      <c r="U36" s="92"/>
      <c r="V36" s="92"/>
      <c r="W36" s="92"/>
      <c r="X36" s="92"/>
      <c r="Y36" s="92"/>
      <c r="Z36" s="92"/>
      <c r="AA36" s="81"/>
      <c r="AB36" s="81"/>
      <c r="AC36" s="81"/>
      <c r="AD36" s="81"/>
      <c r="AE36" s="81"/>
      <c r="AF36" s="81"/>
      <c r="AG36" s="81"/>
      <c r="AH36" s="81"/>
      <c r="AI36" s="81"/>
      <c r="AJ36" s="81"/>
      <c r="AK36" s="81"/>
      <c r="AL36" s="81"/>
      <c r="AM36" s="81"/>
      <c r="AN36" s="81"/>
      <c r="AO36" s="81"/>
    </row>
    <row r="37" spans="2:41">
      <c r="B37" s="9">
        <v>33</v>
      </c>
      <c r="C37" s="31" t="s">
        <v>95</v>
      </c>
      <c r="D37" s="61" t="s">
        <v>571</v>
      </c>
      <c r="E37" s="290" t="s">
        <v>1510</v>
      </c>
      <c r="F37" s="234">
        <v>1010.27</v>
      </c>
      <c r="G37" s="234"/>
      <c r="H37" s="234"/>
      <c r="I37" s="234">
        <v>0.75700415246479491</v>
      </c>
      <c r="J37" s="234">
        <v>713.55303930665093</v>
      </c>
      <c r="K37" s="234">
        <v>974.22805628878473</v>
      </c>
      <c r="L37" s="234">
        <v>1010.2667791858059</v>
      </c>
      <c r="M37" s="234">
        <v>4917.0653509207523</v>
      </c>
      <c r="N37" s="234">
        <v>3970.5696110210542</v>
      </c>
      <c r="O37" s="234">
        <f>MIN(K37,L37,M37,N37)</f>
        <v>974.22805628878473</v>
      </c>
      <c r="P37" s="234">
        <f t="shared" si="1"/>
        <v>3970.5696110210542</v>
      </c>
      <c r="Q37" s="92"/>
      <c r="R37" s="92"/>
      <c r="S37" s="84"/>
      <c r="T37" s="92"/>
      <c r="U37" s="92"/>
      <c r="V37" s="92"/>
      <c r="W37" s="92"/>
      <c r="X37" s="92"/>
      <c r="Y37" s="92"/>
      <c r="Z37" s="92"/>
      <c r="AA37" s="81"/>
      <c r="AB37" s="81"/>
      <c r="AC37" s="81"/>
      <c r="AD37" s="81"/>
      <c r="AE37" s="81"/>
      <c r="AF37" s="81"/>
      <c r="AG37" s="81"/>
      <c r="AH37" s="81"/>
      <c r="AI37" s="81"/>
      <c r="AJ37" s="81"/>
      <c r="AK37" s="81"/>
      <c r="AL37" s="81"/>
      <c r="AM37" s="81"/>
      <c r="AN37" s="81"/>
      <c r="AO37" s="81"/>
    </row>
    <row r="38" spans="2:41">
      <c r="B38" s="9">
        <v>34</v>
      </c>
      <c r="C38" s="31" t="s">
        <v>96</v>
      </c>
      <c r="D38" s="61" t="s">
        <v>571</v>
      </c>
      <c r="E38" s="290" t="s">
        <v>1518</v>
      </c>
      <c r="F38" s="63"/>
      <c r="G38" s="63"/>
      <c r="H38" s="63"/>
      <c r="I38" s="63"/>
      <c r="J38" s="63"/>
      <c r="K38" s="63"/>
      <c r="L38" s="63"/>
      <c r="M38" s="63"/>
      <c r="N38" s="63"/>
      <c r="O38" s="63"/>
      <c r="P38" s="63"/>
      <c r="Q38" s="92"/>
      <c r="R38" s="92"/>
      <c r="S38" s="84"/>
      <c r="T38" s="92"/>
      <c r="U38" s="92"/>
      <c r="V38" s="92"/>
      <c r="W38" s="92"/>
      <c r="X38" s="92"/>
      <c r="Y38" s="92"/>
      <c r="Z38" s="92"/>
      <c r="AA38" s="81"/>
      <c r="AB38" s="81"/>
      <c r="AC38" s="81"/>
      <c r="AD38" s="81"/>
      <c r="AE38" s="81"/>
      <c r="AF38" s="81"/>
      <c r="AG38" s="81"/>
      <c r="AH38" s="81"/>
      <c r="AI38" s="81"/>
      <c r="AJ38" s="81"/>
      <c r="AK38" s="81"/>
      <c r="AL38" s="81"/>
      <c r="AM38" s="81"/>
      <c r="AN38" s="81"/>
      <c r="AO38" s="81"/>
    </row>
    <row r="39" spans="2:41">
      <c r="B39" s="9">
        <v>35</v>
      </c>
      <c r="C39" s="31" t="s">
        <v>97</v>
      </c>
      <c r="D39" s="61" t="s">
        <v>571</v>
      </c>
      <c r="E39" s="290" t="s">
        <v>1522</v>
      </c>
      <c r="F39" s="63"/>
      <c r="G39" s="63"/>
      <c r="H39" s="63"/>
      <c r="I39" s="63"/>
      <c r="J39" s="63"/>
      <c r="K39" s="63"/>
      <c r="L39" s="63"/>
      <c r="M39" s="63"/>
      <c r="N39" s="63"/>
      <c r="O39" s="63"/>
      <c r="P39" s="63"/>
      <c r="Q39" s="92"/>
      <c r="R39" s="92"/>
      <c r="S39" s="84"/>
      <c r="T39" s="92"/>
      <c r="U39" s="92"/>
      <c r="V39" s="92"/>
      <c r="W39" s="92"/>
      <c r="X39" s="92"/>
      <c r="Y39" s="92"/>
      <c r="Z39" s="92"/>
      <c r="AA39" s="81"/>
      <c r="AB39" s="81"/>
      <c r="AC39" s="81"/>
      <c r="AD39" s="81"/>
      <c r="AE39" s="81"/>
      <c r="AF39" s="81"/>
      <c r="AG39" s="81"/>
      <c r="AH39" s="81"/>
      <c r="AI39" s="81"/>
      <c r="AJ39" s="81"/>
      <c r="AK39" s="81"/>
      <c r="AL39" s="81"/>
      <c r="AM39" s="81"/>
      <c r="AN39" s="81"/>
      <c r="AO39" s="81"/>
    </row>
    <row r="40" spans="2:41">
      <c r="B40" s="9">
        <v>36</v>
      </c>
      <c r="C40" s="31" t="s">
        <v>98</v>
      </c>
      <c r="D40" s="61" t="s">
        <v>571</v>
      </c>
      <c r="E40" s="290" t="s">
        <v>1499</v>
      </c>
      <c r="F40" s="234">
        <v>345.61529482910208</v>
      </c>
      <c r="G40" s="234"/>
      <c r="H40" s="234"/>
      <c r="I40" s="234">
        <v>0.33771076288953505</v>
      </c>
      <c r="J40" s="234">
        <v>191.26216137316058</v>
      </c>
      <c r="K40" s="234">
        <v>159.93633308128332</v>
      </c>
      <c r="L40" s="234">
        <v>345.61529482910208</v>
      </c>
      <c r="M40" s="234">
        <v>648.72452320997263</v>
      </c>
      <c r="N40" s="234">
        <v>616.41418117278954</v>
      </c>
      <c r="O40" s="234">
        <f>MIN(K40,L40,M40,N40)</f>
        <v>159.93633308128332</v>
      </c>
      <c r="P40" s="234">
        <f t="shared" si="1"/>
        <v>616.41418117278954</v>
      </c>
      <c r="Q40" s="92"/>
      <c r="R40" s="92"/>
      <c r="S40" s="84"/>
      <c r="T40" s="92"/>
      <c r="U40" s="92"/>
      <c r="V40" s="92"/>
      <c r="W40" s="92"/>
      <c r="X40" s="92"/>
      <c r="Y40" s="92"/>
      <c r="Z40" s="92"/>
      <c r="AA40" s="81"/>
      <c r="AB40" s="81"/>
      <c r="AC40" s="81"/>
      <c r="AD40" s="81"/>
      <c r="AE40" s="81"/>
      <c r="AF40" s="81"/>
      <c r="AG40" s="81"/>
      <c r="AH40" s="81"/>
      <c r="AI40" s="81"/>
      <c r="AJ40" s="81"/>
      <c r="AK40" s="81"/>
      <c r="AL40" s="81"/>
      <c r="AM40" s="81"/>
      <c r="AN40" s="81"/>
      <c r="AO40" s="81"/>
    </row>
    <row r="41" spans="2:41">
      <c r="B41" s="9">
        <v>37</v>
      </c>
      <c r="C41" s="31" t="s">
        <v>99</v>
      </c>
      <c r="D41" s="61" t="s">
        <v>571</v>
      </c>
      <c r="E41" s="290" t="s">
        <v>1505</v>
      </c>
      <c r="F41" s="63"/>
      <c r="G41" s="63"/>
      <c r="H41" s="63"/>
      <c r="I41" s="63"/>
      <c r="J41" s="63"/>
      <c r="K41" s="63"/>
      <c r="L41" s="63"/>
      <c r="M41" s="63"/>
      <c r="N41" s="63"/>
      <c r="O41" s="63"/>
      <c r="P41" s="63"/>
      <c r="Q41" s="92"/>
      <c r="R41" s="92"/>
      <c r="S41" s="84"/>
      <c r="T41" s="92"/>
      <c r="U41" s="92"/>
      <c r="V41" s="92"/>
      <c r="W41" s="92"/>
      <c r="X41" s="92"/>
      <c r="Y41" s="92"/>
      <c r="Z41" s="92"/>
      <c r="AA41" s="81"/>
      <c r="AB41" s="81"/>
      <c r="AC41" s="81"/>
      <c r="AD41" s="81"/>
      <c r="AE41" s="81"/>
      <c r="AF41" s="81"/>
      <c r="AG41" s="81"/>
      <c r="AH41" s="81"/>
      <c r="AI41" s="81"/>
      <c r="AJ41" s="81"/>
      <c r="AK41" s="81"/>
      <c r="AL41" s="81"/>
      <c r="AM41" s="81"/>
      <c r="AN41" s="81"/>
      <c r="AO41" s="81"/>
    </row>
    <row r="42" spans="2:41">
      <c r="B42" s="9">
        <v>38</v>
      </c>
      <c r="C42" s="31" t="s">
        <v>100</v>
      </c>
      <c r="D42" s="61" t="s">
        <v>571</v>
      </c>
      <c r="E42" s="290" t="s">
        <v>1514</v>
      </c>
      <c r="F42" s="63"/>
      <c r="G42" s="63"/>
      <c r="H42" s="63"/>
      <c r="I42" s="63"/>
      <c r="J42" s="63"/>
      <c r="K42" s="63"/>
      <c r="L42" s="63"/>
      <c r="M42" s="63"/>
      <c r="N42" s="63"/>
      <c r="O42" s="63"/>
      <c r="P42" s="63"/>
      <c r="Q42" s="92"/>
      <c r="R42" s="92"/>
      <c r="S42" s="84"/>
      <c r="T42" s="92"/>
      <c r="U42" s="92"/>
      <c r="V42" s="92"/>
      <c r="W42" s="92"/>
      <c r="X42" s="92"/>
      <c r="Y42" s="92"/>
      <c r="Z42" s="92"/>
      <c r="AA42" s="81"/>
      <c r="AB42" s="81"/>
      <c r="AC42" s="81"/>
      <c r="AD42" s="81"/>
      <c r="AE42" s="81"/>
      <c r="AF42" s="81"/>
      <c r="AG42" s="81"/>
      <c r="AH42" s="81"/>
      <c r="AI42" s="81"/>
      <c r="AJ42" s="81"/>
      <c r="AK42" s="81"/>
      <c r="AL42" s="81"/>
      <c r="AM42" s="81"/>
      <c r="AN42" s="81"/>
      <c r="AO42" s="81"/>
    </row>
    <row r="43" spans="2:41">
      <c r="B43" s="9">
        <v>39</v>
      </c>
      <c r="C43" s="31" t="s">
        <v>101</v>
      </c>
      <c r="D43" s="61" t="s">
        <v>571</v>
      </c>
      <c r="E43" s="290" t="s">
        <v>1516</v>
      </c>
      <c r="F43" s="63"/>
      <c r="G43" s="63"/>
      <c r="H43" s="63"/>
      <c r="I43" s="63"/>
      <c r="J43" s="63"/>
      <c r="K43" s="63"/>
      <c r="L43" s="63"/>
      <c r="M43" s="63"/>
      <c r="N43" s="63"/>
      <c r="O43" s="63"/>
      <c r="P43" s="63"/>
      <c r="Q43" s="92"/>
      <c r="R43" s="92"/>
      <c r="S43" s="84"/>
      <c r="T43" s="92"/>
      <c r="U43" s="92"/>
      <c r="V43" s="92"/>
      <c r="W43" s="92"/>
      <c r="X43" s="92"/>
      <c r="Y43" s="92"/>
      <c r="Z43" s="92"/>
      <c r="AA43" s="81"/>
      <c r="AB43" s="81"/>
      <c r="AC43" s="81"/>
      <c r="AD43" s="81"/>
      <c r="AE43" s="81"/>
      <c r="AF43" s="81"/>
      <c r="AG43" s="81"/>
      <c r="AH43" s="81"/>
      <c r="AI43" s="81"/>
      <c r="AJ43" s="81"/>
      <c r="AK43" s="81"/>
      <c r="AL43" s="81"/>
      <c r="AM43" s="81"/>
      <c r="AN43" s="81"/>
      <c r="AO43" s="81"/>
    </row>
    <row r="44" spans="2:41">
      <c r="B44" s="9">
        <v>40</v>
      </c>
      <c r="C44" s="31" t="s">
        <v>102</v>
      </c>
      <c r="D44" s="61" t="s">
        <v>571</v>
      </c>
      <c r="E44" s="290" t="s">
        <v>1490</v>
      </c>
      <c r="F44" s="63"/>
      <c r="G44" s="63"/>
      <c r="H44" s="63"/>
      <c r="I44" s="63"/>
      <c r="J44" s="63"/>
      <c r="K44" s="63"/>
      <c r="L44" s="63"/>
      <c r="M44" s="63"/>
      <c r="N44" s="63"/>
      <c r="O44" s="63"/>
      <c r="P44" s="63"/>
      <c r="Q44" s="92"/>
      <c r="R44" s="92"/>
      <c r="S44" s="84"/>
      <c r="T44" s="92"/>
      <c r="U44" s="92"/>
      <c r="V44" s="92"/>
      <c r="W44" s="92"/>
      <c r="X44" s="92"/>
      <c r="Y44" s="92"/>
      <c r="Z44" s="92"/>
      <c r="AA44" s="81"/>
      <c r="AB44" s="81"/>
      <c r="AC44" s="81"/>
      <c r="AD44" s="81"/>
      <c r="AE44" s="81"/>
      <c r="AF44" s="81"/>
      <c r="AG44" s="81"/>
      <c r="AH44" s="81"/>
      <c r="AI44" s="81"/>
      <c r="AJ44" s="81"/>
      <c r="AK44" s="81"/>
      <c r="AL44" s="81"/>
      <c r="AM44" s="81"/>
      <c r="AN44" s="81"/>
      <c r="AO44" s="81"/>
    </row>
    <row r="45" spans="2:41">
      <c r="B45" s="9">
        <v>41</v>
      </c>
      <c r="C45" s="31" t="s">
        <v>103</v>
      </c>
      <c r="D45" s="61" t="s">
        <v>571</v>
      </c>
      <c r="E45" s="290" t="s">
        <v>1491</v>
      </c>
      <c r="F45" s="63"/>
      <c r="G45" s="63"/>
      <c r="H45" s="63"/>
      <c r="I45" s="63"/>
      <c r="J45" s="63"/>
      <c r="K45" s="63"/>
      <c r="L45" s="63"/>
      <c r="M45" s="63"/>
      <c r="N45" s="63"/>
      <c r="O45" s="63"/>
      <c r="P45" s="63"/>
      <c r="Q45" s="92"/>
      <c r="R45" s="92"/>
      <c r="S45" s="84"/>
      <c r="T45" s="92"/>
      <c r="U45" s="92"/>
      <c r="V45" s="92"/>
      <c r="W45" s="92"/>
      <c r="X45" s="92"/>
      <c r="Y45" s="92"/>
      <c r="Z45" s="92"/>
      <c r="AA45" s="81"/>
      <c r="AB45" s="81"/>
      <c r="AC45" s="81"/>
      <c r="AD45" s="81"/>
      <c r="AE45" s="81"/>
      <c r="AF45" s="81"/>
      <c r="AG45" s="81"/>
      <c r="AH45" s="81"/>
      <c r="AI45" s="81"/>
      <c r="AJ45" s="81"/>
      <c r="AK45" s="81"/>
      <c r="AL45" s="81"/>
      <c r="AM45" s="81"/>
      <c r="AN45" s="81"/>
      <c r="AO45" s="81"/>
    </row>
    <row r="46" spans="2:41">
      <c r="B46" s="9">
        <v>42</v>
      </c>
      <c r="C46" s="31" t="s">
        <v>104</v>
      </c>
      <c r="D46" s="61" t="s">
        <v>571</v>
      </c>
      <c r="E46" s="290" t="s">
        <v>1495</v>
      </c>
      <c r="F46" s="233">
        <v>8941.7907536457114</v>
      </c>
      <c r="G46" s="234"/>
      <c r="H46" s="234"/>
      <c r="I46" s="234">
        <v>31.08915124398904</v>
      </c>
      <c r="J46" s="233">
        <v>3905.7446106025936</v>
      </c>
      <c r="K46" s="233">
        <v>2770.830378837074</v>
      </c>
      <c r="L46" s="233">
        <v>8941.7907536457114</v>
      </c>
      <c r="M46" s="233">
        <v>16900.000528890039</v>
      </c>
      <c r="N46" s="233">
        <v>12524.314464043606</v>
      </c>
      <c r="O46" s="234">
        <f>MIN(K46,L46,M46,N46)</f>
        <v>2770.830378837074</v>
      </c>
      <c r="P46" s="234">
        <f t="shared" si="1"/>
        <v>12524.314464043606</v>
      </c>
      <c r="Q46" s="92"/>
      <c r="R46" s="92"/>
      <c r="S46" s="84"/>
      <c r="T46" s="92"/>
      <c r="U46" s="92"/>
      <c r="V46" s="92"/>
      <c r="W46" s="92"/>
      <c r="X46" s="92"/>
      <c r="Y46" s="92"/>
      <c r="Z46" s="92"/>
      <c r="AA46" s="81"/>
      <c r="AB46" s="81"/>
      <c r="AC46" s="81"/>
      <c r="AD46" s="81"/>
      <c r="AE46" s="81"/>
      <c r="AF46" s="81"/>
      <c r="AG46" s="81"/>
      <c r="AH46" s="81"/>
      <c r="AI46" s="81"/>
      <c r="AJ46" s="81"/>
      <c r="AK46" s="81"/>
      <c r="AL46" s="81"/>
      <c r="AM46" s="81"/>
      <c r="AN46" s="81"/>
      <c r="AO46" s="81"/>
    </row>
    <row r="47" spans="2:41">
      <c r="B47" s="9">
        <v>43</v>
      </c>
      <c r="C47" s="31" t="s">
        <v>105</v>
      </c>
      <c r="D47" s="61" t="s">
        <v>572</v>
      </c>
      <c r="E47" s="290" t="s">
        <v>1496</v>
      </c>
      <c r="F47" s="234">
        <v>10.916681682719874</v>
      </c>
      <c r="G47" s="230"/>
      <c r="H47" s="230"/>
      <c r="I47" s="230">
        <v>0.17929705756669179</v>
      </c>
      <c r="J47" s="234">
        <v>1.9283985466595188</v>
      </c>
      <c r="K47" s="234">
        <v>3.110728834763151</v>
      </c>
      <c r="L47" s="234">
        <v>10.916681682719874</v>
      </c>
      <c r="M47" s="234">
        <v>6.1890194278931441</v>
      </c>
      <c r="N47" s="234">
        <v>7.7370367268080518</v>
      </c>
      <c r="O47" s="234">
        <f>MIN(K47,L47,M47,N47)</f>
        <v>3.110728834763151</v>
      </c>
      <c r="P47" s="234">
        <f t="shared" si="1"/>
        <v>6.1890194278931441</v>
      </c>
      <c r="Q47" s="92"/>
      <c r="R47" s="92"/>
      <c r="S47" s="102"/>
      <c r="T47" s="92"/>
      <c r="U47" s="92"/>
      <c r="V47" s="92"/>
      <c r="W47" s="92"/>
      <c r="X47" s="92"/>
      <c r="Y47" s="92"/>
      <c r="Z47" s="92"/>
      <c r="AA47" s="81"/>
      <c r="AB47" s="81"/>
      <c r="AC47" s="81"/>
      <c r="AD47" s="81"/>
      <c r="AE47" s="81"/>
      <c r="AF47" s="81"/>
      <c r="AG47" s="81"/>
      <c r="AH47" s="81"/>
      <c r="AI47" s="81"/>
      <c r="AJ47" s="81"/>
      <c r="AK47" s="81"/>
      <c r="AL47" s="81"/>
      <c r="AM47" s="81"/>
      <c r="AN47" s="81"/>
      <c r="AO47" s="81"/>
    </row>
    <row r="48" spans="2:41" s="104" customFormat="1">
      <c r="B48" s="9">
        <v>44</v>
      </c>
      <c r="C48" s="95" t="s">
        <v>106</v>
      </c>
      <c r="D48" s="61" t="s">
        <v>571</v>
      </c>
      <c r="E48" s="290" t="s">
        <v>1513</v>
      </c>
      <c r="F48" s="63"/>
      <c r="G48" s="63"/>
      <c r="H48" s="63"/>
      <c r="I48" s="63"/>
      <c r="J48" s="63"/>
      <c r="K48" s="63"/>
      <c r="L48" s="63"/>
      <c r="M48" s="63"/>
      <c r="N48" s="63"/>
      <c r="O48" s="63"/>
      <c r="P48" s="63"/>
      <c r="Q48" s="92"/>
      <c r="R48" s="92"/>
      <c r="S48" s="84"/>
      <c r="T48" s="92"/>
      <c r="U48" s="92"/>
      <c r="V48" s="92"/>
      <c r="W48" s="92"/>
      <c r="X48" s="92"/>
      <c r="Y48" s="92"/>
      <c r="Z48" s="92"/>
      <c r="AA48" s="103"/>
      <c r="AB48" s="103"/>
      <c r="AC48" s="103"/>
      <c r="AD48" s="103"/>
      <c r="AE48" s="103"/>
      <c r="AF48" s="103"/>
      <c r="AG48" s="103"/>
      <c r="AH48" s="103"/>
      <c r="AI48" s="103"/>
      <c r="AJ48" s="103"/>
      <c r="AK48" s="103"/>
      <c r="AL48" s="103"/>
      <c r="AM48" s="103"/>
      <c r="AN48" s="103"/>
      <c r="AO48" s="103"/>
    </row>
    <row r="49" spans="2:41">
      <c r="B49" s="9">
        <v>45</v>
      </c>
      <c r="C49" s="95" t="s">
        <v>107</v>
      </c>
      <c r="D49" s="456" t="s">
        <v>571</v>
      </c>
      <c r="E49" s="290" t="s">
        <v>1487</v>
      </c>
      <c r="F49" s="63"/>
      <c r="G49" s="63"/>
      <c r="H49" s="63"/>
      <c r="I49" s="63"/>
      <c r="J49" s="63"/>
      <c r="K49" s="63"/>
      <c r="L49" s="63"/>
      <c r="M49" s="63"/>
      <c r="N49" s="63"/>
      <c r="O49" s="63"/>
      <c r="P49" s="63"/>
      <c r="Q49" s="92"/>
      <c r="R49" s="92"/>
      <c r="S49" s="84"/>
      <c r="T49" s="92"/>
      <c r="U49" s="92"/>
      <c r="V49" s="92"/>
      <c r="W49" s="92"/>
      <c r="X49" s="92"/>
      <c r="Y49" s="92"/>
      <c r="Z49" s="92"/>
      <c r="AA49" s="81"/>
      <c r="AB49" s="81"/>
      <c r="AC49" s="81"/>
      <c r="AD49" s="81"/>
      <c r="AE49" s="81"/>
      <c r="AF49" s="81"/>
      <c r="AG49" s="81"/>
      <c r="AH49" s="81"/>
      <c r="AI49" s="81"/>
      <c r="AJ49" s="81"/>
      <c r="AK49" s="81"/>
      <c r="AL49" s="81"/>
      <c r="AM49" s="81"/>
      <c r="AN49" s="81"/>
      <c r="AO49" s="81"/>
    </row>
    <row r="50" spans="2:41">
      <c r="B50" s="9">
        <v>46</v>
      </c>
      <c r="C50" s="31" t="s">
        <v>108</v>
      </c>
      <c r="D50" s="456" t="s">
        <v>571</v>
      </c>
      <c r="E50" s="290" t="s">
        <v>1488</v>
      </c>
      <c r="F50" s="234">
        <v>207.79132090678203</v>
      </c>
      <c r="G50" s="234"/>
      <c r="H50" s="234"/>
      <c r="I50" s="234">
        <v>8.9873167206198374</v>
      </c>
      <c r="J50" s="234">
        <v>54.098343999417779</v>
      </c>
      <c r="K50" s="234">
        <v>31.482284236394349</v>
      </c>
      <c r="L50" s="234">
        <v>207.79132090678203</v>
      </c>
      <c r="M50" s="234">
        <v>134.77629156212603</v>
      </c>
      <c r="N50" s="234">
        <v>134.3374170403614</v>
      </c>
      <c r="O50" s="234">
        <f>MIN(K50,L50,M50,N50)</f>
        <v>31.482284236394349</v>
      </c>
      <c r="P50" s="234">
        <f t="shared" si="1"/>
        <v>134.3374170403614</v>
      </c>
      <c r="Q50" s="92"/>
      <c r="R50" s="92"/>
      <c r="S50" s="84"/>
      <c r="T50" s="92"/>
      <c r="U50" s="92"/>
      <c r="V50" s="92"/>
      <c r="W50" s="92"/>
      <c r="X50" s="92"/>
      <c r="Y50" s="92"/>
      <c r="Z50" s="92"/>
      <c r="AA50" s="81"/>
      <c r="AB50" s="81"/>
      <c r="AC50" s="81"/>
      <c r="AD50" s="81"/>
      <c r="AE50" s="81"/>
      <c r="AF50" s="81"/>
      <c r="AG50" s="81"/>
      <c r="AH50" s="81"/>
      <c r="AI50" s="81"/>
      <c r="AJ50" s="81"/>
      <c r="AK50" s="81"/>
      <c r="AL50" s="81"/>
      <c r="AM50" s="81"/>
      <c r="AN50" s="81"/>
      <c r="AO50" s="81"/>
    </row>
    <row r="51" spans="2:41">
      <c r="B51" s="9">
        <v>47</v>
      </c>
      <c r="C51" s="31" t="s">
        <v>341</v>
      </c>
      <c r="D51" s="456" t="s">
        <v>571</v>
      </c>
      <c r="E51" s="290" t="s">
        <v>1489</v>
      </c>
      <c r="F51" s="97"/>
      <c r="G51" s="97"/>
      <c r="H51" s="97"/>
      <c r="I51" s="97"/>
      <c r="J51" s="97"/>
      <c r="K51" s="97"/>
      <c r="L51" s="97"/>
      <c r="M51" s="97"/>
      <c r="N51" s="97"/>
      <c r="O51" s="97"/>
      <c r="P51" s="97"/>
      <c r="Q51" s="92"/>
      <c r="R51" s="92"/>
      <c r="S51" s="84"/>
      <c r="T51" s="92"/>
      <c r="U51" s="92"/>
      <c r="V51" s="92"/>
      <c r="W51" s="92"/>
      <c r="X51" s="92"/>
      <c r="Y51" s="92"/>
      <c r="Z51" s="92"/>
      <c r="AA51" s="81"/>
      <c r="AB51" s="81"/>
      <c r="AC51" s="81"/>
      <c r="AD51" s="81"/>
      <c r="AE51" s="81"/>
      <c r="AF51" s="81"/>
      <c r="AG51" s="81"/>
      <c r="AH51" s="81"/>
      <c r="AI51" s="81"/>
      <c r="AJ51" s="81"/>
      <c r="AK51" s="81"/>
      <c r="AL51" s="81"/>
      <c r="AM51" s="81"/>
      <c r="AN51" s="81"/>
      <c r="AO51" s="81"/>
    </row>
    <row r="52" spans="2:41">
      <c r="B52" s="9">
        <v>48</v>
      </c>
      <c r="C52" s="31" t="s">
        <v>67</v>
      </c>
      <c r="D52" s="456">
        <v>3</v>
      </c>
      <c r="E52" s="290" t="s">
        <v>1613</v>
      </c>
      <c r="F52" s="478">
        <v>1000000</v>
      </c>
      <c r="G52" s="308"/>
      <c r="H52" s="234"/>
      <c r="I52" s="234">
        <v>32.671027457610442</v>
      </c>
      <c r="J52" s="234">
        <v>32.671027457610442</v>
      </c>
      <c r="K52" s="233">
        <v>944.1742881564486</v>
      </c>
      <c r="L52" s="478">
        <v>1000000</v>
      </c>
      <c r="M52" s="233">
        <v>137.43354961501313</v>
      </c>
      <c r="N52" s="233">
        <v>466.57653784084488</v>
      </c>
      <c r="O52" s="234">
        <f t="shared" ref="O52:O59" si="3">MIN(K52,L52,M52,N52)</f>
        <v>137.43354961501313</v>
      </c>
      <c r="P52" s="234">
        <f t="shared" si="1"/>
        <v>137.43354961501313</v>
      </c>
      <c r="Q52" s="107"/>
      <c r="R52" s="92"/>
      <c r="S52" s="99"/>
      <c r="T52" s="92"/>
      <c r="U52" s="92"/>
      <c r="V52" s="92"/>
      <c r="W52" s="107"/>
      <c r="X52" s="92"/>
      <c r="Y52" s="92"/>
      <c r="Z52" s="92"/>
      <c r="AA52" s="81"/>
      <c r="AB52" s="81"/>
      <c r="AC52" s="81"/>
      <c r="AD52" s="81"/>
      <c r="AE52" s="81"/>
      <c r="AF52" s="81"/>
      <c r="AG52" s="81"/>
      <c r="AH52" s="81"/>
      <c r="AI52" s="81"/>
      <c r="AJ52" s="81"/>
      <c r="AK52" s="81"/>
      <c r="AL52" s="81"/>
      <c r="AM52" s="81"/>
      <c r="AN52" s="81"/>
      <c r="AO52" s="81"/>
    </row>
    <row r="53" spans="2:41">
      <c r="B53" s="9">
        <v>49</v>
      </c>
      <c r="C53" s="31" t="s">
        <v>69</v>
      </c>
      <c r="D53" s="61" t="s">
        <v>572</v>
      </c>
      <c r="E53" s="290" t="s">
        <v>1624</v>
      </c>
      <c r="F53" s="233">
        <v>22702.992163237479</v>
      </c>
      <c r="G53" s="230"/>
      <c r="H53" s="229"/>
      <c r="I53" s="229">
        <v>23.546986491108349</v>
      </c>
      <c r="J53" s="234">
        <v>130.90941653174923</v>
      </c>
      <c r="K53" s="234">
        <v>16905.81072904756</v>
      </c>
      <c r="L53" s="233">
        <v>22702.992163237479</v>
      </c>
      <c r="M53" s="234">
        <v>553.09613048427377</v>
      </c>
      <c r="N53" s="234">
        <v>46998.007487822484</v>
      </c>
      <c r="O53" s="234">
        <f t="shared" si="3"/>
        <v>553.09613048427377</v>
      </c>
      <c r="P53" s="234">
        <f t="shared" si="1"/>
        <v>553.09613048427377</v>
      </c>
      <c r="Q53" s="92"/>
      <c r="R53" s="92"/>
      <c r="S53" s="99"/>
      <c r="T53" s="92"/>
      <c r="U53" s="92"/>
      <c r="V53" s="92"/>
      <c r="W53" s="92"/>
      <c r="X53" s="92"/>
      <c r="Y53" s="92"/>
      <c r="Z53" s="92"/>
      <c r="AA53" s="81"/>
      <c r="AB53" s="81"/>
      <c r="AC53" s="81"/>
      <c r="AD53" s="81"/>
      <c r="AE53" s="81"/>
      <c r="AF53" s="81"/>
      <c r="AG53" s="81"/>
      <c r="AH53" s="81"/>
      <c r="AI53" s="81"/>
      <c r="AJ53" s="81"/>
      <c r="AK53" s="81"/>
      <c r="AL53" s="81"/>
      <c r="AM53" s="81"/>
      <c r="AN53" s="81"/>
      <c r="AO53" s="81"/>
    </row>
    <row r="54" spans="2:41">
      <c r="B54" s="9">
        <v>50</v>
      </c>
      <c r="C54" s="31" t="s">
        <v>185</v>
      </c>
      <c r="D54" s="61" t="s">
        <v>571</v>
      </c>
      <c r="E54" s="290" t="s">
        <v>1533</v>
      </c>
      <c r="F54" s="100">
        <v>16347.117222575407</v>
      </c>
      <c r="G54" s="63"/>
      <c r="H54" s="63"/>
      <c r="I54" s="63">
        <v>9.0862008809759196</v>
      </c>
      <c r="J54" s="100">
        <v>11202.581074679607</v>
      </c>
      <c r="K54" s="100">
        <v>16347.117222575407</v>
      </c>
      <c r="L54" s="100">
        <v>16347.117222575407</v>
      </c>
      <c r="M54" s="100">
        <v>100892.84282939417</v>
      </c>
      <c r="N54" s="100">
        <v>74770.038533818399</v>
      </c>
      <c r="O54" s="63">
        <f t="shared" si="3"/>
        <v>16347.117222575407</v>
      </c>
      <c r="P54" s="63">
        <f t="shared" si="1"/>
        <v>74770.038533818399</v>
      </c>
      <c r="Q54" s="107"/>
      <c r="R54" s="92"/>
      <c r="S54" s="108"/>
      <c r="T54" s="92"/>
      <c r="U54" s="107"/>
      <c r="V54" s="107"/>
      <c r="W54" s="107"/>
      <c r="X54" s="92"/>
      <c r="Y54" s="107"/>
      <c r="Z54" s="107"/>
      <c r="AA54" s="81"/>
      <c r="AB54" s="81"/>
      <c r="AC54" s="81"/>
      <c r="AD54" s="81"/>
      <c r="AE54" s="81"/>
      <c r="AF54" s="81"/>
      <c r="AG54" s="81"/>
      <c r="AH54" s="81"/>
      <c r="AI54" s="81"/>
      <c r="AJ54" s="81"/>
      <c r="AK54" s="81"/>
      <c r="AL54" s="81"/>
      <c r="AM54" s="81"/>
      <c r="AN54" s="81"/>
      <c r="AO54" s="81"/>
    </row>
    <row r="55" spans="2:41">
      <c r="B55" s="9">
        <v>51</v>
      </c>
      <c r="C55" s="31" t="s">
        <v>187</v>
      </c>
      <c r="D55" s="61" t="s">
        <v>571</v>
      </c>
      <c r="E55" s="290" t="s">
        <v>1547</v>
      </c>
      <c r="F55" s="100">
        <v>934.12098414716615</v>
      </c>
      <c r="G55" s="63"/>
      <c r="H55" s="63"/>
      <c r="I55" s="63">
        <v>1.7473668789957979</v>
      </c>
      <c r="J55" s="100">
        <v>640.14748998169171</v>
      </c>
      <c r="K55" s="100">
        <v>934.12098414716615</v>
      </c>
      <c r="L55" s="100">
        <v>934.12098414716615</v>
      </c>
      <c r="M55" s="100">
        <v>5765.3053045368097</v>
      </c>
      <c r="N55" s="100">
        <v>4272.5736305039081</v>
      </c>
      <c r="O55" s="63">
        <f t="shared" si="3"/>
        <v>934.12098414716615</v>
      </c>
      <c r="P55" s="63">
        <f t="shared" si="1"/>
        <v>4272.5736305039081</v>
      </c>
      <c r="Q55" s="107"/>
      <c r="R55" s="92"/>
      <c r="S55" s="108"/>
      <c r="T55" s="92"/>
      <c r="U55" s="107"/>
      <c r="V55" s="107"/>
      <c r="W55" s="107"/>
      <c r="X55" s="92"/>
      <c r="Y55" s="107"/>
      <c r="Z55" s="107"/>
      <c r="AA55" s="81"/>
      <c r="AB55" s="81"/>
      <c r="AC55" s="81"/>
      <c r="AD55" s="81"/>
      <c r="AE55" s="81"/>
      <c r="AF55" s="81"/>
      <c r="AG55" s="81"/>
      <c r="AH55" s="81"/>
      <c r="AI55" s="81"/>
      <c r="AJ55" s="81"/>
      <c r="AK55" s="81"/>
      <c r="AL55" s="81"/>
      <c r="AM55" s="81"/>
      <c r="AN55" s="81"/>
      <c r="AO55" s="81"/>
    </row>
    <row r="56" spans="2:41">
      <c r="B56" s="9">
        <v>52</v>
      </c>
      <c r="C56" s="31" t="s">
        <v>74</v>
      </c>
      <c r="D56" s="61">
        <v>3</v>
      </c>
      <c r="E56" s="290" t="s">
        <v>1468</v>
      </c>
      <c r="F56" s="97">
        <v>382.4900945936725</v>
      </c>
      <c r="G56" s="97"/>
      <c r="H56" s="97"/>
      <c r="I56" s="97">
        <v>1.1954659023975227</v>
      </c>
      <c r="J56" s="97">
        <v>1.3447802463885143</v>
      </c>
      <c r="K56" s="97">
        <v>38.7478339975086</v>
      </c>
      <c r="L56" s="97">
        <v>382.4900945936725</v>
      </c>
      <c r="M56" s="97">
        <v>5.6574259391335788</v>
      </c>
      <c r="N56" s="97">
        <v>19.202199764246334</v>
      </c>
      <c r="O56" s="63">
        <f t="shared" si="3"/>
        <v>5.6574259391335788</v>
      </c>
      <c r="P56" s="63">
        <f t="shared" si="1"/>
        <v>5.6574259391335788</v>
      </c>
      <c r="Q56" s="92"/>
      <c r="R56" s="92"/>
      <c r="S56" s="99"/>
      <c r="T56" s="92"/>
      <c r="U56" s="92"/>
      <c r="V56" s="92"/>
      <c r="W56" s="92"/>
      <c r="X56" s="92"/>
      <c r="Y56" s="92"/>
      <c r="Z56" s="92"/>
      <c r="AA56" s="81"/>
      <c r="AB56" s="81"/>
      <c r="AC56" s="81"/>
      <c r="AD56" s="81"/>
      <c r="AE56" s="81"/>
      <c r="AF56" s="81"/>
      <c r="AG56" s="81"/>
      <c r="AH56" s="81"/>
      <c r="AI56" s="81"/>
      <c r="AJ56" s="81"/>
      <c r="AK56" s="81"/>
      <c r="AL56" s="81"/>
      <c r="AM56" s="81"/>
      <c r="AN56" s="81"/>
      <c r="AO56" s="81"/>
    </row>
    <row r="57" spans="2:41">
      <c r="B57" s="9">
        <v>53</v>
      </c>
      <c r="C57" s="31" t="s">
        <v>64</v>
      </c>
      <c r="D57" s="61">
        <v>3</v>
      </c>
      <c r="E57" s="290" t="s">
        <v>1602</v>
      </c>
      <c r="F57" s="234">
        <v>508.14282521880813</v>
      </c>
      <c r="G57" s="234"/>
      <c r="H57" s="234"/>
      <c r="I57" s="234">
        <v>0.27705697094932996</v>
      </c>
      <c r="J57" s="234">
        <v>3.0979728535683431</v>
      </c>
      <c r="K57" s="234">
        <v>83.373644120094497</v>
      </c>
      <c r="L57" s="234">
        <v>508.14282521880813</v>
      </c>
      <c r="M57" s="234">
        <v>20.151702921410816</v>
      </c>
      <c r="N57" s="234">
        <v>65.709778712259649</v>
      </c>
      <c r="O57" s="234">
        <f t="shared" si="3"/>
        <v>20.151702921410816</v>
      </c>
      <c r="P57" s="234">
        <f t="shared" si="1"/>
        <v>20.151702921410816</v>
      </c>
      <c r="Q57" s="92"/>
      <c r="R57" s="92"/>
      <c r="S57" s="99"/>
      <c r="T57" s="92"/>
      <c r="U57" s="92"/>
      <c r="V57" s="92"/>
      <c r="W57" s="92"/>
      <c r="X57" s="92"/>
      <c r="Y57" s="92"/>
      <c r="Z57" s="92"/>
      <c r="AA57" s="81"/>
      <c r="AB57" s="81"/>
      <c r="AC57" s="81"/>
      <c r="AD57" s="81"/>
      <c r="AE57" s="81"/>
      <c r="AF57" s="81"/>
      <c r="AG57" s="81"/>
      <c r="AH57" s="81"/>
      <c r="AI57" s="81"/>
      <c r="AJ57" s="81"/>
      <c r="AK57" s="81"/>
      <c r="AL57" s="81"/>
      <c r="AM57" s="81"/>
      <c r="AN57" s="81"/>
      <c r="AO57" s="81"/>
    </row>
    <row r="58" spans="2:41">
      <c r="B58" s="9">
        <v>54</v>
      </c>
      <c r="C58" s="31" t="s">
        <v>70</v>
      </c>
      <c r="D58" s="61">
        <v>3</v>
      </c>
      <c r="E58" s="290" t="s">
        <v>1636</v>
      </c>
      <c r="F58" s="63">
        <v>15.021089814738501</v>
      </c>
      <c r="G58" s="98"/>
      <c r="H58" s="63"/>
      <c r="I58" s="63">
        <v>1.5449350894669549E-2</v>
      </c>
      <c r="J58" s="63">
        <v>3.8004413387872672E-2</v>
      </c>
      <c r="K58" s="63">
        <v>1.1262489616360283</v>
      </c>
      <c r="L58" s="63">
        <v>15.021089814738501</v>
      </c>
      <c r="M58" s="63">
        <v>0.24823560213161164</v>
      </c>
      <c r="N58" s="63">
        <v>0.83714168056598937</v>
      </c>
      <c r="O58" s="63">
        <f t="shared" si="3"/>
        <v>0.24823560213161164</v>
      </c>
      <c r="P58" s="63">
        <f t="shared" si="1"/>
        <v>0.24823560213161164</v>
      </c>
      <c r="Q58" s="92"/>
      <c r="R58" s="92"/>
      <c r="S58" s="99"/>
      <c r="T58" s="92"/>
      <c r="U58" s="92"/>
      <c r="V58" s="92"/>
      <c r="W58" s="92"/>
      <c r="X58" s="92"/>
      <c r="Y58" s="92"/>
      <c r="Z58" s="92"/>
      <c r="AA58" s="81"/>
      <c r="AB58" s="81"/>
      <c r="AC58" s="81"/>
      <c r="AD58" s="81"/>
      <c r="AE58" s="81"/>
      <c r="AF58" s="81"/>
      <c r="AG58" s="81"/>
      <c r="AH58" s="81"/>
      <c r="AI58" s="81"/>
      <c r="AJ58" s="81"/>
      <c r="AK58" s="81"/>
      <c r="AL58" s="81"/>
      <c r="AM58" s="81"/>
      <c r="AN58" s="81"/>
      <c r="AO58" s="81"/>
    </row>
    <row r="59" spans="2:41">
      <c r="B59" s="9">
        <v>55</v>
      </c>
      <c r="C59" s="31" t="s">
        <v>111</v>
      </c>
      <c r="D59" s="61" t="s">
        <v>572</v>
      </c>
      <c r="E59" s="290" t="s">
        <v>1627</v>
      </c>
      <c r="F59" s="100">
        <v>605.57477020829401</v>
      </c>
      <c r="G59" s="63"/>
      <c r="H59" s="63"/>
      <c r="I59" s="63">
        <v>0.75146781827910769</v>
      </c>
      <c r="J59" s="100">
        <v>406.17269749989418</v>
      </c>
      <c r="K59" s="100">
        <v>564.0444958810391</v>
      </c>
      <c r="L59" s="100">
        <v>605.57477020829401</v>
      </c>
      <c r="M59" s="100">
        <v>1509.2718042480315</v>
      </c>
      <c r="N59" s="100">
        <v>1121.8757047255683</v>
      </c>
      <c r="O59" s="63">
        <f t="shared" si="3"/>
        <v>564.0444958810391</v>
      </c>
      <c r="P59" s="63">
        <f t="shared" si="1"/>
        <v>1121.8757047255683</v>
      </c>
      <c r="Q59" s="107"/>
      <c r="R59" s="92"/>
      <c r="S59" s="108"/>
      <c r="T59" s="92"/>
      <c r="U59" s="107"/>
      <c r="V59" s="107"/>
      <c r="W59" s="107"/>
      <c r="X59" s="92"/>
      <c r="Y59" s="107"/>
      <c r="Z59" s="107"/>
      <c r="AA59" s="81"/>
      <c r="AB59" s="81"/>
      <c r="AC59" s="81"/>
      <c r="AD59" s="81"/>
      <c r="AE59" s="81"/>
      <c r="AF59" s="81"/>
      <c r="AG59" s="81"/>
      <c r="AH59" s="81"/>
      <c r="AI59" s="81"/>
      <c r="AJ59" s="81"/>
      <c r="AK59" s="81"/>
      <c r="AL59" s="81"/>
      <c r="AM59" s="81"/>
      <c r="AN59" s="81"/>
      <c r="AO59" s="81"/>
    </row>
    <row r="60" spans="2:41">
      <c r="B60" s="9">
        <v>56</v>
      </c>
      <c r="C60" s="95" t="s">
        <v>342</v>
      </c>
      <c r="D60" s="61" t="s">
        <v>571</v>
      </c>
      <c r="E60" s="290" t="s">
        <v>1537</v>
      </c>
      <c r="F60" s="100"/>
      <c r="G60" s="63"/>
      <c r="H60" s="63"/>
      <c r="I60" s="63"/>
      <c r="J60" s="100"/>
      <c r="K60" s="100"/>
      <c r="L60" s="100"/>
      <c r="M60" s="100"/>
      <c r="N60" s="100"/>
      <c r="O60" s="63"/>
      <c r="P60" s="63"/>
      <c r="Q60" s="107"/>
      <c r="R60" s="92"/>
      <c r="S60" s="108"/>
      <c r="T60" s="92"/>
      <c r="U60" s="107"/>
      <c r="V60" s="107"/>
      <c r="W60" s="107"/>
      <c r="X60" s="92"/>
      <c r="Y60" s="107"/>
      <c r="Z60" s="107"/>
      <c r="AA60" s="81"/>
      <c r="AB60" s="81"/>
      <c r="AC60" s="81"/>
      <c r="AD60" s="81"/>
      <c r="AE60" s="81"/>
      <c r="AF60" s="81"/>
      <c r="AG60" s="81"/>
      <c r="AH60" s="81"/>
      <c r="AI60" s="81"/>
      <c r="AJ60" s="81"/>
      <c r="AK60" s="81"/>
      <c r="AL60" s="81"/>
      <c r="AM60" s="81"/>
      <c r="AN60" s="81"/>
      <c r="AO60" s="81"/>
    </row>
    <row r="61" spans="2:41">
      <c r="B61" s="9">
        <v>57</v>
      </c>
      <c r="C61" s="31" t="s">
        <v>184</v>
      </c>
      <c r="D61" s="61" t="s">
        <v>571</v>
      </c>
      <c r="E61" s="290" t="s">
        <v>1595</v>
      </c>
      <c r="F61" s="100">
        <v>990.46864193300132</v>
      </c>
      <c r="G61" s="63"/>
      <c r="H61" s="63"/>
      <c r="I61" s="63">
        <v>0.84004848462143333</v>
      </c>
      <c r="J61" s="100">
        <v>378.34290837006995</v>
      </c>
      <c r="K61" s="100">
        <v>67.546853597359629</v>
      </c>
      <c r="L61" s="100">
        <v>990.46864193300132</v>
      </c>
      <c r="M61" s="100">
        <v>1951.2968953840964</v>
      </c>
      <c r="N61" s="100">
        <v>1446.0742701590618</v>
      </c>
      <c r="O61" s="63">
        <f t="shared" ref="O61:O75" si="4">MIN(K61,L61,M61,N61)</f>
        <v>67.546853597359629</v>
      </c>
      <c r="P61" s="63">
        <f t="shared" si="1"/>
        <v>1446.0742701590618</v>
      </c>
      <c r="Q61" s="107"/>
      <c r="R61" s="92"/>
      <c r="S61" s="108"/>
      <c r="T61" s="92"/>
      <c r="U61" s="107"/>
      <c r="V61" s="107"/>
      <c r="W61" s="107"/>
      <c r="X61" s="92"/>
      <c r="Y61" s="107"/>
      <c r="Z61" s="107"/>
      <c r="AA61" s="81"/>
      <c r="AB61" s="81"/>
      <c r="AC61" s="81"/>
      <c r="AD61" s="81"/>
      <c r="AE61" s="81"/>
      <c r="AF61" s="81"/>
      <c r="AG61" s="81"/>
      <c r="AH61" s="81"/>
      <c r="AI61" s="81"/>
      <c r="AJ61" s="81"/>
      <c r="AK61" s="81"/>
      <c r="AL61" s="81"/>
      <c r="AM61" s="81"/>
      <c r="AN61" s="81"/>
      <c r="AO61" s="81"/>
    </row>
    <row r="62" spans="2:41">
      <c r="B62" s="9">
        <v>58</v>
      </c>
      <c r="C62" s="31" t="s">
        <v>63</v>
      </c>
      <c r="D62" s="61" t="s">
        <v>572</v>
      </c>
      <c r="E62" s="290" t="s">
        <v>1601</v>
      </c>
      <c r="F62" s="100">
        <v>144.88617343434186</v>
      </c>
      <c r="G62" s="63"/>
      <c r="H62" s="63"/>
      <c r="I62" s="63">
        <v>7.3188110518551105E-2</v>
      </c>
      <c r="J62" s="100">
        <v>103.99590411868456</v>
      </c>
      <c r="K62" s="100">
        <v>144.88617343434186</v>
      </c>
      <c r="L62" s="100">
        <v>144.88617343434186</v>
      </c>
      <c r="M62" s="100">
        <v>361.62309257847369</v>
      </c>
      <c r="N62" s="100">
        <v>267.9929696552631</v>
      </c>
      <c r="O62" s="63">
        <f t="shared" si="4"/>
        <v>144.88617343434186</v>
      </c>
      <c r="P62" s="63">
        <f t="shared" si="1"/>
        <v>267.9929696552631</v>
      </c>
      <c r="Q62" s="107"/>
      <c r="R62" s="92"/>
      <c r="S62" s="108"/>
      <c r="T62" s="92"/>
      <c r="U62" s="107"/>
      <c r="V62" s="107"/>
      <c r="W62" s="107"/>
      <c r="X62" s="92"/>
      <c r="Y62" s="107"/>
      <c r="Z62" s="107"/>
      <c r="AA62" s="81"/>
      <c r="AB62" s="81"/>
      <c r="AC62" s="81"/>
      <c r="AD62" s="81"/>
      <c r="AE62" s="81"/>
      <c r="AF62" s="81"/>
      <c r="AG62" s="81"/>
      <c r="AH62" s="81"/>
      <c r="AI62" s="81"/>
      <c r="AJ62" s="81"/>
      <c r="AK62" s="81"/>
      <c r="AL62" s="81"/>
      <c r="AM62" s="81"/>
      <c r="AN62" s="81"/>
      <c r="AO62" s="81"/>
    </row>
    <row r="63" spans="2:41">
      <c r="B63" s="9">
        <v>59</v>
      </c>
      <c r="C63" s="31" t="s">
        <v>212</v>
      </c>
      <c r="D63" s="61" t="s">
        <v>571</v>
      </c>
      <c r="E63" s="290" t="s">
        <v>1583</v>
      </c>
      <c r="F63" s="100">
        <v>121.43572793913158</v>
      </c>
      <c r="G63" s="63"/>
      <c r="H63" s="63"/>
      <c r="I63" s="63">
        <v>4.3089112380343395E-2</v>
      </c>
      <c r="J63" s="100">
        <v>89.655172413793096</v>
      </c>
      <c r="K63" s="100">
        <v>136.43178410794602</v>
      </c>
      <c r="L63" s="100">
        <v>136.43178410794602</v>
      </c>
      <c r="M63" s="100">
        <v>808.8888888888888</v>
      </c>
      <c r="N63" s="100">
        <v>808.8888888888888</v>
      </c>
      <c r="O63" s="63">
        <f t="shared" si="4"/>
        <v>136.43178410794602</v>
      </c>
      <c r="P63" s="63">
        <f t="shared" si="1"/>
        <v>808.8888888888888</v>
      </c>
      <c r="Q63" s="107"/>
      <c r="R63" s="92"/>
      <c r="S63" s="108"/>
      <c r="T63" s="92"/>
      <c r="U63" s="107"/>
      <c r="V63" s="107"/>
      <c r="W63" s="107"/>
      <c r="X63" s="92"/>
      <c r="Y63" s="107"/>
      <c r="Z63" s="107"/>
      <c r="AA63" s="81"/>
      <c r="AB63" s="81"/>
      <c r="AC63" s="81"/>
      <c r="AD63" s="81"/>
      <c r="AE63" s="81"/>
      <c r="AF63" s="81"/>
      <c r="AG63" s="81"/>
      <c r="AH63" s="81"/>
      <c r="AI63" s="81"/>
      <c r="AJ63" s="81"/>
      <c r="AK63" s="81"/>
      <c r="AL63" s="81"/>
      <c r="AM63" s="81"/>
      <c r="AN63" s="81"/>
      <c r="AO63" s="81"/>
    </row>
    <row r="64" spans="2:41">
      <c r="B64" s="9">
        <v>60</v>
      </c>
      <c r="C64" s="31" t="s">
        <v>213</v>
      </c>
      <c r="D64" s="61" t="s">
        <v>571</v>
      </c>
      <c r="E64" s="290" t="s">
        <v>1597</v>
      </c>
      <c r="F64" s="233">
        <v>4086.7793056438518</v>
      </c>
      <c r="G64" s="234"/>
      <c r="H64" s="234"/>
      <c r="I64" s="234">
        <v>1.4501143589538643</v>
      </c>
      <c r="J64" s="233">
        <v>3017.2413793103447</v>
      </c>
      <c r="K64" s="233">
        <v>4591.4542728635688</v>
      </c>
      <c r="L64" s="233">
        <v>4591.4542728635688</v>
      </c>
      <c r="M64" s="233">
        <v>27222.222222222219</v>
      </c>
      <c r="N64" s="233">
        <v>27222.222222222219</v>
      </c>
      <c r="O64" s="234">
        <f t="shared" si="4"/>
        <v>4591.4542728635688</v>
      </c>
      <c r="P64" s="234">
        <f t="shared" si="1"/>
        <v>27222.222222222219</v>
      </c>
      <c r="Q64" s="107"/>
      <c r="R64" s="92"/>
      <c r="S64" s="108"/>
      <c r="T64" s="92"/>
      <c r="U64" s="107"/>
      <c r="V64" s="107"/>
      <c r="W64" s="107"/>
      <c r="X64" s="92"/>
      <c r="Y64" s="107"/>
      <c r="Z64" s="107"/>
      <c r="AA64" s="81"/>
      <c r="AB64" s="81"/>
      <c r="AC64" s="81"/>
      <c r="AD64" s="81"/>
      <c r="AE64" s="81"/>
      <c r="AF64" s="81"/>
      <c r="AG64" s="81"/>
      <c r="AH64" s="81"/>
      <c r="AI64" s="81"/>
      <c r="AJ64" s="81"/>
      <c r="AK64" s="81"/>
      <c r="AL64" s="81"/>
      <c r="AM64" s="81"/>
      <c r="AN64" s="81"/>
      <c r="AO64" s="81"/>
    </row>
    <row r="65" spans="2:41">
      <c r="B65" s="9">
        <v>61</v>
      </c>
      <c r="C65" s="31" t="s">
        <v>214</v>
      </c>
      <c r="D65" s="61" t="s">
        <v>571</v>
      </c>
      <c r="E65" s="290" t="s">
        <v>1770</v>
      </c>
      <c r="F65" s="100">
        <v>140118.1476220749</v>
      </c>
      <c r="G65" s="63"/>
      <c r="H65" s="63"/>
      <c r="I65" s="63">
        <v>49.718206592703915</v>
      </c>
      <c r="J65" s="100">
        <v>103448.27586206894</v>
      </c>
      <c r="K65" s="100">
        <v>157421.28935532231</v>
      </c>
      <c r="L65" s="100">
        <v>157421.28935532231</v>
      </c>
      <c r="M65" s="100">
        <v>933333.33333333326</v>
      </c>
      <c r="N65" s="100">
        <v>933333.33333333326</v>
      </c>
      <c r="O65" s="63">
        <f t="shared" si="4"/>
        <v>157421.28935532231</v>
      </c>
      <c r="P65" s="63">
        <f t="shared" si="1"/>
        <v>933333.33333333326</v>
      </c>
      <c r="Q65" s="107"/>
      <c r="R65" s="92"/>
      <c r="S65" s="108"/>
      <c r="T65" s="92"/>
      <c r="U65" s="107"/>
      <c r="V65" s="107"/>
      <c r="W65" s="107"/>
      <c r="X65" s="92"/>
      <c r="Y65" s="107"/>
      <c r="Z65" s="107"/>
      <c r="AA65" s="81"/>
      <c r="AB65" s="81"/>
      <c r="AC65" s="81"/>
      <c r="AD65" s="81"/>
      <c r="AE65" s="81"/>
      <c r="AF65" s="81"/>
      <c r="AG65" s="81"/>
      <c r="AH65" s="81"/>
      <c r="AI65" s="81"/>
      <c r="AJ65" s="81"/>
      <c r="AK65" s="81"/>
      <c r="AL65" s="81"/>
      <c r="AM65" s="81"/>
      <c r="AN65" s="81"/>
      <c r="AO65" s="81"/>
    </row>
    <row r="66" spans="2:41">
      <c r="B66" s="9">
        <v>62</v>
      </c>
      <c r="C66" s="31" t="s">
        <v>347</v>
      </c>
      <c r="D66" s="61" t="s">
        <v>571</v>
      </c>
      <c r="E66" s="290" t="s">
        <v>1593</v>
      </c>
      <c r="F66" s="100">
        <v>3502.9536905518726</v>
      </c>
      <c r="G66" s="63"/>
      <c r="H66" s="63"/>
      <c r="I66" s="63">
        <v>355.91439281548418</v>
      </c>
      <c r="J66" s="100">
        <v>2400.553087431344</v>
      </c>
      <c r="K66" s="100">
        <v>3502.9536905518726</v>
      </c>
      <c r="L66" s="100">
        <v>3502.9536905518726</v>
      </c>
      <c r="M66" s="100">
        <v>21619.894892013035</v>
      </c>
      <c r="N66" s="100">
        <v>16022.151114389655</v>
      </c>
      <c r="O66" s="63">
        <f t="shared" si="4"/>
        <v>3502.9536905518726</v>
      </c>
      <c r="P66" s="63">
        <f t="shared" si="1"/>
        <v>16022.151114389655</v>
      </c>
      <c r="Q66" s="107"/>
      <c r="R66" s="92"/>
      <c r="S66" s="108"/>
      <c r="T66" s="92"/>
      <c r="U66" s="107"/>
      <c r="V66" s="107"/>
      <c r="W66" s="107"/>
      <c r="X66" s="92"/>
      <c r="Y66" s="107"/>
      <c r="Z66" s="107"/>
      <c r="AA66" s="81"/>
      <c r="AB66" s="81"/>
      <c r="AC66" s="81"/>
      <c r="AD66" s="81"/>
      <c r="AE66" s="81"/>
      <c r="AF66" s="81"/>
      <c r="AG66" s="81"/>
      <c r="AH66" s="81"/>
      <c r="AI66" s="81"/>
      <c r="AJ66" s="81"/>
      <c r="AK66" s="81"/>
      <c r="AL66" s="81"/>
      <c r="AM66" s="81"/>
      <c r="AN66" s="81"/>
      <c r="AO66" s="81"/>
    </row>
    <row r="67" spans="2:41">
      <c r="B67" s="9">
        <v>63</v>
      </c>
      <c r="C67" s="31" t="s">
        <v>58</v>
      </c>
      <c r="D67" s="61" t="s">
        <v>571</v>
      </c>
      <c r="E67" s="290" t="s">
        <v>1511</v>
      </c>
      <c r="F67" s="100">
        <v>4670.6049207358301</v>
      </c>
      <c r="G67" s="63"/>
      <c r="H67" s="63"/>
      <c r="I67" s="63">
        <v>4.719137496922797</v>
      </c>
      <c r="J67" s="100">
        <v>3200.737449908459</v>
      </c>
      <c r="K67" s="100">
        <v>4670.6049207358301</v>
      </c>
      <c r="L67" s="100">
        <v>4670.6049207358301</v>
      </c>
      <c r="M67" s="100">
        <v>28826.526522684046</v>
      </c>
      <c r="N67" s="100">
        <v>21362.868152519542</v>
      </c>
      <c r="O67" s="63">
        <f t="shared" si="4"/>
        <v>4670.6049207358301</v>
      </c>
      <c r="P67" s="63">
        <f t="shared" si="1"/>
        <v>21362.868152519542</v>
      </c>
      <c r="Q67" s="107"/>
      <c r="R67" s="92"/>
      <c r="S67" s="108"/>
      <c r="T67" s="92"/>
      <c r="U67" s="107"/>
      <c r="V67" s="107"/>
      <c r="W67" s="107"/>
      <c r="X67" s="92"/>
      <c r="Y67" s="107"/>
      <c r="Z67" s="107"/>
      <c r="AA67" s="81"/>
      <c r="AB67" s="81"/>
      <c r="AC67" s="81"/>
      <c r="AD67" s="81"/>
      <c r="AE67" s="81"/>
      <c r="AF67" s="81"/>
      <c r="AG67" s="81"/>
      <c r="AH67" s="81"/>
      <c r="AI67" s="81"/>
      <c r="AJ67" s="81"/>
      <c r="AK67" s="81"/>
      <c r="AL67" s="81"/>
      <c r="AM67" s="81"/>
      <c r="AN67" s="81"/>
      <c r="AO67" s="81"/>
    </row>
    <row r="68" spans="2:41">
      <c r="B68" s="9">
        <v>64</v>
      </c>
      <c r="C68" s="31" t="s">
        <v>62</v>
      </c>
      <c r="D68" s="61" t="s">
        <v>571</v>
      </c>
      <c r="E68" s="290" t="s">
        <v>1600</v>
      </c>
      <c r="F68" s="100">
        <v>1609.0537909578038</v>
      </c>
      <c r="G68" s="63"/>
      <c r="H68" s="63"/>
      <c r="I68" s="63">
        <v>1.0124928703594012</v>
      </c>
      <c r="J68" s="100">
        <v>32.042257525561006</v>
      </c>
      <c r="K68" s="100">
        <v>624.6150608034543</v>
      </c>
      <c r="L68" s="100">
        <v>1609.0537909578038</v>
      </c>
      <c r="M68" s="100">
        <v>136.63541716980768</v>
      </c>
      <c r="N68" s="100">
        <v>443.33564018849478</v>
      </c>
      <c r="O68" s="63">
        <f t="shared" si="4"/>
        <v>136.63541716980768</v>
      </c>
      <c r="P68" s="63">
        <f t="shared" si="1"/>
        <v>136.63541716980768</v>
      </c>
      <c r="Q68" s="107"/>
      <c r="R68" s="92"/>
      <c r="S68" s="108"/>
      <c r="T68" s="92"/>
      <c r="U68" s="107"/>
      <c r="V68" s="107"/>
      <c r="W68" s="107"/>
      <c r="X68" s="92"/>
      <c r="Y68" s="107"/>
      <c r="Z68" s="107"/>
      <c r="AA68" s="81"/>
      <c r="AB68" s="81"/>
      <c r="AC68" s="81"/>
      <c r="AD68" s="81"/>
      <c r="AE68" s="81"/>
      <c r="AF68" s="81"/>
      <c r="AG68" s="81"/>
      <c r="AH68" s="81"/>
      <c r="AI68" s="81"/>
      <c r="AJ68" s="81"/>
      <c r="AK68" s="81"/>
      <c r="AL68" s="81"/>
      <c r="AM68" s="81"/>
      <c r="AN68" s="81"/>
      <c r="AO68" s="81"/>
    </row>
    <row r="69" spans="2:41">
      <c r="B69" s="9">
        <v>65</v>
      </c>
      <c r="C69" s="31" t="s">
        <v>82</v>
      </c>
      <c r="D69" s="61">
        <v>3</v>
      </c>
      <c r="E69" s="290" t="s">
        <v>513</v>
      </c>
      <c r="F69" s="106">
        <v>1.832819893482923</v>
      </c>
      <c r="G69" s="63"/>
      <c r="H69" s="63"/>
      <c r="I69" s="63">
        <v>0.16371629283303474</v>
      </c>
      <c r="J69" s="106">
        <v>1.7816786556896016</v>
      </c>
      <c r="K69" s="106">
        <v>1.7864029036345181</v>
      </c>
      <c r="L69" s="106">
        <v>1.832819893482923</v>
      </c>
      <c r="M69" s="106">
        <v>4.2174662325288672</v>
      </c>
      <c r="N69" s="106">
        <v>4.2329768719932153</v>
      </c>
      <c r="O69" s="63">
        <f t="shared" si="4"/>
        <v>1.7864029036345181</v>
      </c>
      <c r="P69" s="63">
        <f>MIN(M69,N69)</f>
        <v>4.2174662325288672</v>
      </c>
      <c r="Q69" s="109"/>
      <c r="R69" s="92"/>
      <c r="S69" s="108"/>
      <c r="T69" s="92"/>
      <c r="U69" s="109"/>
      <c r="V69" s="109"/>
      <c r="W69" s="109"/>
      <c r="X69" s="92"/>
      <c r="Y69" s="109"/>
      <c r="Z69" s="109"/>
      <c r="AA69" s="81"/>
      <c r="AB69" s="81"/>
      <c r="AC69" s="81"/>
      <c r="AD69" s="81"/>
      <c r="AE69" s="81"/>
      <c r="AF69" s="81"/>
      <c r="AG69" s="81"/>
      <c r="AH69" s="81"/>
      <c r="AI69" s="81"/>
      <c r="AJ69" s="81"/>
      <c r="AK69" s="81"/>
      <c r="AL69" s="81"/>
      <c r="AM69" s="81"/>
      <c r="AN69" s="81"/>
      <c r="AO69" s="81"/>
    </row>
    <row r="70" spans="2:41">
      <c r="B70" s="9">
        <v>66</v>
      </c>
      <c r="C70" s="31" t="s">
        <v>119</v>
      </c>
      <c r="D70" s="61">
        <v>1</v>
      </c>
      <c r="E70" s="290" t="s">
        <v>1676</v>
      </c>
      <c r="F70" s="233">
        <v>34.394049259459088</v>
      </c>
      <c r="G70" s="234"/>
      <c r="H70" s="234"/>
      <c r="I70" s="234">
        <v>7.3805953171670241E-2</v>
      </c>
      <c r="J70" s="234">
        <v>7.3805953171670241E-2</v>
      </c>
      <c r="K70" s="234">
        <v>0.61356330615893095</v>
      </c>
      <c r="L70" s="233">
        <v>34.394048103673271</v>
      </c>
      <c r="M70" s="234">
        <v>0.45072403497427532</v>
      </c>
      <c r="N70" s="234">
        <v>1.2651643217879196</v>
      </c>
      <c r="O70" s="234">
        <f t="shared" si="4"/>
        <v>0.45072403497427532</v>
      </c>
      <c r="P70" s="234">
        <f>MIN(M70,N70)</f>
        <v>0.45072403497427532</v>
      </c>
      <c r="Q70" s="107"/>
      <c r="R70" s="92"/>
      <c r="S70" s="108"/>
      <c r="T70" s="92"/>
      <c r="U70" s="92"/>
      <c r="V70" s="92"/>
      <c r="W70" s="107"/>
      <c r="X70" s="92"/>
      <c r="Y70" s="92"/>
      <c r="Z70" s="109"/>
      <c r="AA70" s="81"/>
      <c r="AB70" s="81"/>
      <c r="AC70" s="81"/>
      <c r="AD70" s="81"/>
      <c r="AE70" s="81"/>
      <c r="AF70" s="81"/>
      <c r="AG70" s="81"/>
      <c r="AH70" s="81"/>
      <c r="AI70" s="81"/>
      <c r="AJ70" s="81"/>
      <c r="AK70" s="81"/>
      <c r="AL70" s="81"/>
      <c r="AM70" s="81"/>
      <c r="AN70" s="81"/>
      <c r="AO70" s="81"/>
    </row>
    <row r="71" spans="2:41">
      <c r="B71" s="9">
        <v>67</v>
      </c>
      <c r="C71" s="31" t="s">
        <v>120</v>
      </c>
      <c r="D71" s="61" t="s">
        <v>572</v>
      </c>
      <c r="E71" s="290" t="s">
        <v>1560</v>
      </c>
      <c r="F71" s="100">
        <v>204.41607069736952</v>
      </c>
      <c r="G71" s="63"/>
      <c r="H71" s="63"/>
      <c r="I71" s="63">
        <v>0.62479461662108426</v>
      </c>
      <c r="J71" s="63">
        <v>0.62479461662108426</v>
      </c>
      <c r="K71" s="106">
        <v>4.0008295387835844</v>
      </c>
      <c r="L71" s="100">
        <v>204.41607069736952</v>
      </c>
      <c r="M71" s="106">
        <v>3.7178596696856796</v>
      </c>
      <c r="N71" s="106">
        <v>9.7244996958550178</v>
      </c>
      <c r="O71" s="63">
        <f t="shared" si="4"/>
        <v>3.7178596696856796</v>
      </c>
      <c r="P71" s="63">
        <f>MIN(M71,N71)</f>
        <v>3.7178596696856796</v>
      </c>
      <c r="Q71" s="107"/>
      <c r="R71" s="92"/>
      <c r="S71" s="108"/>
      <c r="T71" s="92"/>
      <c r="U71" s="109"/>
      <c r="V71" s="109"/>
      <c r="W71" s="107"/>
      <c r="X71" s="92"/>
      <c r="Y71" s="109"/>
      <c r="Z71" s="107"/>
      <c r="AA71" s="81"/>
      <c r="AB71" s="81"/>
      <c r="AC71" s="81"/>
      <c r="AD71" s="81"/>
      <c r="AE71" s="81"/>
      <c r="AF71" s="81"/>
      <c r="AG71" s="81"/>
      <c r="AH71" s="81"/>
      <c r="AI71" s="81"/>
      <c r="AJ71" s="81"/>
      <c r="AK71" s="81"/>
      <c r="AL71" s="81"/>
      <c r="AM71" s="81"/>
      <c r="AN71" s="81"/>
      <c r="AO71" s="81"/>
    </row>
    <row r="72" spans="2:41">
      <c r="B72" s="9">
        <v>68</v>
      </c>
      <c r="C72" s="31" t="s">
        <v>348</v>
      </c>
      <c r="D72" s="61" t="s">
        <v>573</v>
      </c>
      <c r="E72" s="290" t="s">
        <v>1647</v>
      </c>
      <c r="F72" s="100">
        <v>1428.3611679979356</v>
      </c>
      <c r="G72" s="63"/>
      <c r="H72" s="63"/>
      <c r="I72" s="63">
        <v>12.710423021821594</v>
      </c>
      <c r="J72" s="63">
        <v>12.710423021821594</v>
      </c>
      <c r="K72" s="106">
        <v>318.26556560166182</v>
      </c>
      <c r="L72" s="100">
        <v>1428.3594717566777</v>
      </c>
      <c r="M72" s="106">
        <v>53.602315901430899</v>
      </c>
      <c r="N72" s="100">
        <v>173.53510812509646</v>
      </c>
      <c r="O72" s="63">
        <f t="shared" si="4"/>
        <v>53.602315901430899</v>
      </c>
      <c r="P72" s="63">
        <f>MIN(M72,N72)</f>
        <v>53.602315901430899</v>
      </c>
      <c r="Q72" s="107"/>
      <c r="R72" s="92"/>
      <c r="S72" s="108"/>
      <c r="T72" s="92"/>
      <c r="U72" s="109"/>
      <c r="V72" s="109"/>
      <c r="W72" s="107"/>
      <c r="X72" s="92"/>
      <c r="Y72" s="109"/>
      <c r="Z72" s="107"/>
      <c r="AA72" s="81"/>
      <c r="AB72" s="81"/>
      <c r="AC72" s="81"/>
      <c r="AD72" s="81"/>
      <c r="AE72" s="81"/>
      <c r="AF72" s="81"/>
      <c r="AG72" s="81"/>
      <c r="AH72" s="81"/>
      <c r="AI72" s="81"/>
      <c r="AJ72" s="81"/>
      <c r="AK72" s="81"/>
      <c r="AL72" s="81"/>
      <c r="AM72" s="81"/>
      <c r="AN72" s="81"/>
      <c r="AO72" s="81"/>
    </row>
    <row r="73" spans="2:41">
      <c r="B73" s="9">
        <v>69</v>
      </c>
      <c r="C73" s="31" t="s">
        <v>215</v>
      </c>
      <c r="D73" s="61" t="s">
        <v>571</v>
      </c>
      <c r="E73" s="290" t="s">
        <v>1581</v>
      </c>
      <c r="F73" s="100">
        <v>410.06311427601264</v>
      </c>
      <c r="G73" s="63"/>
      <c r="H73" s="63"/>
      <c r="I73" s="101">
        <v>1.5044156972875373</v>
      </c>
      <c r="J73" s="106">
        <v>1.5044156972875373</v>
      </c>
      <c r="K73" s="106">
        <v>43.16201634180392</v>
      </c>
      <c r="L73" s="100">
        <v>410.21686972396702</v>
      </c>
      <c r="M73" s="106">
        <v>6.3292102465827451</v>
      </c>
      <c r="N73" s="100">
        <v>21.437985150240674</v>
      </c>
      <c r="O73" s="63">
        <f t="shared" si="4"/>
        <v>6.3292102465827451</v>
      </c>
      <c r="P73" s="63">
        <f>MIN(M73,N73)</f>
        <v>6.3292102465827451</v>
      </c>
      <c r="Q73" s="107"/>
      <c r="R73" s="92"/>
      <c r="S73" s="108"/>
      <c r="T73" s="92"/>
      <c r="U73" s="109"/>
      <c r="V73" s="109"/>
      <c r="W73" s="107"/>
      <c r="X73" s="92"/>
      <c r="Y73" s="109"/>
      <c r="Z73" s="107"/>
      <c r="AA73" s="81"/>
      <c r="AB73" s="81"/>
      <c r="AC73" s="81"/>
      <c r="AD73" s="81"/>
      <c r="AE73" s="81"/>
      <c r="AF73" s="81"/>
      <c r="AG73" s="81"/>
      <c r="AH73" s="81"/>
      <c r="AI73" s="81"/>
      <c r="AJ73" s="81"/>
      <c r="AK73" s="81"/>
      <c r="AL73" s="81"/>
      <c r="AM73" s="81"/>
      <c r="AN73" s="81"/>
      <c r="AO73" s="81"/>
    </row>
    <row r="74" spans="2:41">
      <c r="B74" s="61" t="s">
        <v>343</v>
      </c>
      <c r="C74" s="36" t="s">
        <v>349</v>
      </c>
      <c r="D74" s="61" t="s">
        <v>571</v>
      </c>
      <c r="E74" s="290" t="s">
        <v>350</v>
      </c>
      <c r="F74" s="100"/>
      <c r="G74" s="63"/>
      <c r="H74" s="63"/>
      <c r="I74" s="101"/>
      <c r="J74" s="106"/>
      <c r="K74" s="106"/>
      <c r="L74" s="100"/>
      <c r="M74" s="106"/>
      <c r="N74" s="100"/>
      <c r="O74" s="63"/>
      <c r="P74" s="63"/>
      <c r="Q74" s="107"/>
      <c r="R74" s="92"/>
      <c r="S74" s="108"/>
      <c r="T74" s="92"/>
      <c r="U74" s="109"/>
      <c r="V74" s="109"/>
      <c r="W74" s="107"/>
      <c r="X74" s="92"/>
      <c r="Y74" s="109"/>
      <c r="Z74" s="107"/>
      <c r="AA74" s="81"/>
      <c r="AB74" s="81"/>
      <c r="AC74" s="81"/>
      <c r="AD74" s="81"/>
      <c r="AE74" s="81"/>
      <c r="AF74" s="81"/>
      <c r="AG74" s="81"/>
      <c r="AH74" s="81"/>
      <c r="AI74" s="81"/>
      <c r="AJ74" s="81"/>
      <c r="AK74" s="81"/>
      <c r="AL74" s="81"/>
      <c r="AM74" s="81"/>
      <c r="AN74" s="81"/>
      <c r="AO74" s="81"/>
    </row>
    <row r="75" spans="2:41">
      <c r="B75" s="9">
        <v>70</v>
      </c>
      <c r="C75" s="31" t="s">
        <v>217</v>
      </c>
      <c r="D75" s="61" t="s">
        <v>571</v>
      </c>
      <c r="E75" s="290" t="s">
        <v>1568</v>
      </c>
      <c r="F75" s="233">
        <v>35.889258034729515</v>
      </c>
      <c r="G75" s="234"/>
      <c r="H75" s="234"/>
      <c r="I75" s="234">
        <v>0.22818009110638532</v>
      </c>
      <c r="J75" s="234">
        <v>0.22818055428653763</v>
      </c>
      <c r="K75" s="308">
        <v>6.0865157944770658</v>
      </c>
      <c r="L75" s="233">
        <v>35.765570557741341</v>
      </c>
      <c r="M75" s="234">
        <v>0.96117761066083252</v>
      </c>
      <c r="N75" s="308">
        <v>3.1799906483916236</v>
      </c>
      <c r="O75" s="234">
        <f t="shared" si="4"/>
        <v>0.96117761066083252</v>
      </c>
      <c r="P75" s="234">
        <f>MIN(M75,N75)</f>
        <v>0.96117761066083252</v>
      </c>
      <c r="Q75" s="107"/>
      <c r="R75" s="92"/>
      <c r="S75" s="108"/>
      <c r="T75" s="92"/>
      <c r="U75" s="109"/>
      <c r="V75" s="109"/>
      <c r="W75" s="107"/>
      <c r="X75" s="92"/>
      <c r="Y75" s="109"/>
      <c r="Z75" s="107"/>
      <c r="AA75" s="81"/>
      <c r="AB75" s="81"/>
      <c r="AC75" s="81"/>
      <c r="AD75" s="81"/>
      <c r="AE75" s="81"/>
      <c r="AF75" s="81"/>
      <c r="AG75" s="81"/>
      <c r="AH75" s="81"/>
      <c r="AI75" s="81"/>
      <c r="AJ75" s="81"/>
      <c r="AK75" s="81"/>
      <c r="AL75" s="81"/>
      <c r="AM75" s="81"/>
      <c r="AN75" s="81"/>
      <c r="AO75" s="81"/>
    </row>
    <row r="76" spans="2:41">
      <c r="B76" s="61" t="s">
        <v>517</v>
      </c>
      <c r="C76" s="36" t="s">
        <v>351</v>
      </c>
      <c r="D76" s="61">
        <v>3</v>
      </c>
      <c r="E76" s="290" t="s">
        <v>1675</v>
      </c>
      <c r="F76" s="100"/>
      <c r="G76" s="63"/>
      <c r="H76" s="63"/>
      <c r="I76" s="63"/>
      <c r="J76" s="63"/>
      <c r="K76" s="106"/>
      <c r="L76" s="100"/>
      <c r="M76" s="63"/>
      <c r="N76" s="106"/>
      <c r="O76" s="63"/>
      <c r="P76" s="63"/>
      <c r="Q76" s="107"/>
      <c r="R76" s="92"/>
      <c r="S76" s="108"/>
      <c r="T76" s="92"/>
      <c r="U76" s="109"/>
      <c r="V76" s="109"/>
      <c r="W76" s="107"/>
      <c r="X76" s="92"/>
      <c r="Y76" s="109"/>
      <c r="Z76" s="107"/>
      <c r="AA76" s="81"/>
      <c r="AB76" s="81"/>
      <c r="AC76" s="81"/>
      <c r="AD76" s="81"/>
      <c r="AE76" s="81"/>
      <c r="AF76" s="81"/>
      <c r="AG76" s="81"/>
      <c r="AH76" s="81"/>
      <c r="AI76" s="81"/>
      <c r="AJ76" s="81"/>
      <c r="AK76" s="81"/>
      <c r="AL76" s="81"/>
      <c r="AM76" s="81"/>
      <c r="AN76" s="81"/>
      <c r="AO76" s="81"/>
    </row>
    <row r="77" spans="2:41">
      <c r="B77" s="9">
        <v>71</v>
      </c>
      <c r="C77" s="31" t="s">
        <v>220</v>
      </c>
      <c r="D77" s="61">
        <v>3</v>
      </c>
      <c r="E77" s="290" t="s">
        <v>1566</v>
      </c>
      <c r="F77" s="100"/>
      <c r="G77" s="63"/>
      <c r="H77" s="63"/>
      <c r="I77" s="63"/>
      <c r="J77" s="63"/>
      <c r="K77" s="106"/>
      <c r="L77" s="100"/>
      <c r="M77" s="106"/>
      <c r="N77" s="100"/>
      <c r="O77" s="63"/>
      <c r="P77" s="63"/>
      <c r="Q77" s="107"/>
      <c r="R77" s="92"/>
      <c r="S77" s="108"/>
      <c r="T77" s="92"/>
      <c r="U77" s="109"/>
      <c r="V77" s="109"/>
      <c r="W77" s="107"/>
      <c r="X77" s="92"/>
      <c r="Y77" s="109"/>
      <c r="Z77" s="107"/>
      <c r="AA77" s="81"/>
      <c r="AB77" s="81"/>
      <c r="AC77" s="81"/>
      <c r="AD77" s="81"/>
      <c r="AE77" s="81"/>
      <c r="AF77" s="81"/>
      <c r="AG77" s="81"/>
      <c r="AH77" s="81"/>
      <c r="AI77" s="81"/>
      <c r="AJ77" s="81"/>
      <c r="AK77" s="81"/>
      <c r="AL77" s="81"/>
      <c r="AM77" s="81"/>
      <c r="AN77" s="81"/>
      <c r="AO77" s="81"/>
    </row>
    <row r="78" spans="2:41">
      <c r="B78" s="61" t="s">
        <v>520</v>
      </c>
      <c r="C78" s="36" t="s">
        <v>352</v>
      </c>
      <c r="D78" s="61" t="s">
        <v>571</v>
      </c>
      <c r="E78" s="290" t="s">
        <v>1619</v>
      </c>
      <c r="F78" s="100"/>
      <c r="G78" s="63"/>
      <c r="H78" s="63"/>
      <c r="I78" s="63"/>
      <c r="J78" s="63"/>
      <c r="K78" s="106"/>
      <c r="L78" s="100"/>
      <c r="M78" s="106"/>
      <c r="N78" s="100"/>
      <c r="O78" s="63"/>
      <c r="P78" s="63"/>
      <c r="Q78" s="107"/>
      <c r="R78" s="92"/>
      <c r="S78" s="108"/>
      <c r="T78" s="92"/>
      <c r="U78" s="109"/>
      <c r="V78" s="109"/>
      <c r="W78" s="107"/>
      <c r="X78" s="92"/>
      <c r="Y78" s="109"/>
      <c r="Z78" s="107"/>
      <c r="AA78" s="81"/>
      <c r="AB78" s="81"/>
      <c r="AC78" s="81"/>
      <c r="AD78" s="81"/>
      <c r="AE78" s="81"/>
      <c r="AF78" s="81"/>
      <c r="AG78" s="81"/>
      <c r="AH78" s="81"/>
      <c r="AI78" s="81"/>
      <c r="AJ78" s="81"/>
      <c r="AK78" s="81"/>
      <c r="AL78" s="81"/>
      <c r="AM78" s="81"/>
      <c r="AN78" s="81"/>
      <c r="AO78" s="81"/>
    </row>
    <row r="79" spans="2:41">
      <c r="B79" s="9">
        <v>72</v>
      </c>
      <c r="C79" s="31" t="s">
        <v>222</v>
      </c>
      <c r="D79" s="61">
        <v>1</v>
      </c>
      <c r="E79" s="290" t="s">
        <v>1576</v>
      </c>
      <c r="F79" s="100"/>
      <c r="G79" s="63"/>
      <c r="H79" s="63"/>
      <c r="I79" s="63"/>
      <c r="J79" s="106"/>
      <c r="K79" s="106"/>
      <c r="L79" s="100"/>
      <c r="M79" s="106"/>
      <c r="N79" s="100"/>
      <c r="O79" s="63"/>
      <c r="P79" s="63"/>
      <c r="Q79" s="107"/>
      <c r="R79" s="92"/>
      <c r="S79" s="108"/>
      <c r="T79" s="92"/>
      <c r="U79" s="109"/>
      <c r="V79" s="109"/>
      <c r="W79" s="107"/>
      <c r="X79" s="92"/>
      <c r="Y79" s="109"/>
      <c r="Z79" s="107"/>
      <c r="AA79" s="81"/>
      <c r="AB79" s="81"/>
      <c r="AC79" s="81"/>
      <c r="AD79" s="81"/>
      <c r="AE79" s="81"/>
      <c r="AF79" s="81"/>
      <c r="AG79" s="81"/>
      <c r="AH79" s="81"/>
      <c r="AI79" s="81"/>
      <c r="AJ79" s="81"/>
      <c r="AK79" s="81"/>
      <c r="AL79" s="81"/>
      <c r="AM79" s="81"/>
      <c r="AN79" s="81"/>
      <c r="AO79" s="81"/>
    </row>
    <row r="80" spans="2:41">
      <c r="B80" s="61" t="s">
        <v>523</v>
      </c>
      <c r="C80" s="36" t="s">
        <v>353</v>
      </c>
      <c r="D80" s="61" t="s">
        <v>571</v>
      </c>
      <c r="E80" s="293" t="s">
        <v>449</v>
      </c>
      <c r="F80" s="100"/>
      <c r="G80" s="63"/>
      <c r="H80" s="63"/>
      <c r="I80" s="63"/>
      <c r="J80" s="106"/>
      <c r="K80" s="106"/>
      <c r="L80" s="100"/>
      <c r="M80" s="106"/>
      <c r="N80" s="100"/>
      <c r="O80" s="63"/>
      <c r="P80" s="63"/>
      <c r="Q80" s="107"/>
      <c r="R80" s="92"/>
      <c r="S80" s="108"/>
      <c r="T80" s="92"/>
      <c r="U80" s="109"/>
      <c r="V80" s="109"/>
      <c r="W80" s="107"/>
      <c r="X80" s="92"/>
      <c r="Y80" s="109"/>
      <c r="Z80" s="107"/>
      <c r="AA80" s="81"/>
      <c r="AB80" s="81"/>
      <c r="AC80" s="81"/>
      <c r="AD80" s="81"/>
      <c r="AE80" s="81"/>
      <c r="AF80" s="81"/>
      <c r="AG80" s="81"/>
      <c r="AH80" s="81"/>
      <c r="AI80" s="81"/>
      <c r="AJ80" s="81"/>
      <c r="AK80" s="81"/>
      <c r="AL80" s="81"/>
      <c r="AM80" s="81"/>
      <c r="AN80" s="81"/>
      <c r="AO80" s="81"/>
    </row>
    <row r="81" spans="2:41">
      <c r="B81" s="9">
        <v>73</v>
      </c>
      <c r="C81" s="31" t="s">
        <v>223</v>
      </c>
      <c r="D81" s="61" t="s">
        <v>571</v>
      </c>
      <c r="E81" s="290" t="s">
        <v>1570</v>
      </c>
      <c r="F81" s="100"/>
      <c r="G81" s="63"/>
      <c r="H81" s="63"/>
      <c r="I81" s="63"/>
      <c r="J81" s="106"/>
      <c r="K81" s="106"/>
      <c r="L81" s="100"/>
      <c r="M81" s="106"/>
      <c r="N81" s="100"/>
      <c r="O81" s="63"/>
      <c r="P81" s="63"/>
      <c r="Q81" s="107"/>
      <c r="R81" s="92"/>
      <c r="S81" s="108"/>
      <c r="T81" s="92"/>
      <c r="U81" s="109"/>
      <c r="V81" s="109"/>
      <c r="W81" s="107"/>
      <c r="X81" s="92"/>
      <c r="Y81" s="109"/>
      <c r="Z81" s="107"/>
      <c r="AA81" s="81"/>
      <c r="AB81" s="81"/>
      <c r="AC81" s="81"/>
      <c r="AD81" s="81"/>
      <c r="AE81" s="81"/>
      <c r="AF81" s="81"/>
      <c r="AG81" s="81"/>
      <c r="AH81" s="81"/>
      <c r="AI81" s="81"/>
      <c r="AJ81" s="81"/>
      <c r="AK81" s="81"/>
      <c r="AL81" s="81"/>
      <c r="AM81" s="81"/>
      <c r="AN81" s="81"/>
      <c r="AO81" s="81"/>
    </row>
    <row r="82" spans="2:41">
      <c r="B82" s="9">
        <v>74</v>
      </c>
      <c r="C82" s="31" t="s">
        <v>354</v>
      </c>
      <c r="D82" s="61" t="s">
        <v>571</v>
      </c>
      <c r="E82" s="290" t="s">
        <v>1718</v>
      </c>
      <c r="F82" s="100"/>
      <c r="G82" s="63"/>
      <c r="H82" s="63"/>
      <c r="I82" s="63"/>
      <c r="J82" s="106"/>
      <c r="K82" s="106"/>
      <c r="L82" s="100"/>
      <c r="M82" s="106"/>
      <c r="N82" s="100"/>
      <c r="O82" s="63"/>
      <c r="P82" s="63"/>
      <c r="Q82" s="107"/>
      <c r="R82" s="92"/>
      <c r="S82" s="108"/>
      <c r="T82" s="92"/>
      <c r="U82" s="109"/>
      <c r="V82" s="109"/>
      <c r="W82" s="107"/>
      <c r="X82" s="92"/>
      <c r="Y82" s="109"/>
      <c r="Z82" s="107"/>
      <c r="AA82" s="81"/>
      <c r="AB82" s="81"/>
      <c r="AC82" s="81"/>
      <c r="AD82" s="81"/>
      <c r="AE82" s="81"/>
      <c r="AF82" s="81"/>
      <c r="AG82" s="81"/>
      <c r="AH82" s="81"/>
      <c r="AI82" s="81"/>
      <c r="AJ82" s="81"/>
      <c r="AK82" s="81"/>
      <c r="AL82" s="81"/>
      <c r="AM82" s="81"/>
      <c r="AN82" s="81"/>
      <c r="AO82" s="81"/>
    </row>
    <row r="83" spans="2:41">
      <c r="B83" s="9">
        <v>75</v>
      </c>
      <c r="C83" s="31" t="s">
        <v>355</v>
      </c>
      <c r="D83" s="61" t="s">
        <v>571</v>
      </c>
      <c r="E83" s="290" t="s">
        <v>1719</v>
      </c>
      <c r="F83" s="100"/>
      <c r="G83" s="63"/>
      <c r="H83" s="63"/>
      <c r="I83" s="63"/>
      <c r="J83" s="106"/>
      <c r="K83" s="106"/>
      <c r="L83" s="100"/>
      <c r="M83" s="106"/>
      <c r="N83" s="100"/>
      <c r="O83" s="63"/>
      <c r="P83" s="63"/>
      <c r="Q83" s="107"/>
      <c r="R83" s="92"/>
      <c r="S83" s="108"/>
      <c r="T83" s="92"/>
      <c r="U83" s="109"/>
      <c r="V83" s="109"/>
      <c r="W83" s="107"/>
      <c r="X83" s="92"/>
      <c r="Y83" s="109"/>
      <c r="Z83" s="107"/>
      <c r="AA83" s="81"/>
      <c r="AB83" s="81"/>
      <c r="AC83" s="81"/>
      <c r="AD83" s="81"/>
      <c r="AE83" s="81"/>
      <c r="AF83" s="81"/>
      <c r="AG83" s="81"/>
      <c r="AH83" s="81"/>
      <c r="AI83" s="81"/>
      <c r="AJ83" s="81"/>
      <c r="AK83" s="81"/>
      <c r="AL83" s="81"/>
      <c r="AM83" s="81"/>
      <c r="AN83" s="81"/>
      <c r="AO83" s="81"/>
    </row>
    <row r="84" spans="2:41">
      <c r="B84" s="9">
        <v>76</v>
      </c>
      <c r="C84" s="31" t="s">
        <v>79</v>
      </c>
      <c r="D84" s="61">
        <v>3</v>
      </c>
      <c r="E84" s="290" t="s">
        <v>1548</v>
      </c>
      <c r="F84" s="105">
        <v>1000000</v>
      </c>
      <c r="G84" s="63"/>
      <c r="H84" s="63"/>
      <c r="I84" s="63">
        <v>2904.9020293056128</v>
      </c>
      <c r="J84" s="106">
        <v>2904.9020293056128</v>
      </c>
      <c r="K84" s="106">
        <v>73146.447402526144</v>
      </c>
      <c r="L84" s="105">
        <v>1000000</v>
      </c>
      <c r="M84" s="106">
        <v>12249.239915349706</v>
      </c>
      <c r="N84" s="100">
        <v>39733.561495646492</v>
      </c>
      <c r="O84" s="63">
        <f t="shared" ref="O84:O93" si="5">MIN(K84,L84,M84,N84)</f>
        <v>12249.239915349706</v>
      </c>
      <c r="P84" s="63">
        <f t="shared" ref="P84:P93" si="6">MIN(M84,N84)</f>
        <v>12249.239915349706</v>
      </c>
      <c r="Q84" s="107"/>
      <c r="R84" s="109"/>
      <c r="S84" s="108"/>
      <c r="T84" s="92"/>
      <c r="U84" s="109"/>
      <c r="V84" s="109"/>
      <c r="W84" s="107"/>
      <c r="X84" s="92"/>
      <c r="Y84" s="109"/>
      <c r="Z84" s="107"/>
      <c r="AA84" s="81"/>
      <c r="AB84" s="81"/>
      <c r="AC84" s="81"/>
      <c r="AD84" s="81"/>
      <c r="AE84" s="81"/>
      <c r="AF84" s="81"/>
      <c r="AG84" s="81"/>
      <c r="AH84" s="81"/>
      <c r="AI84" s="81"/>
      <c r="AJ84" s="81"/>
      <c r="AK84" s="81"/>
      <c r="AL84" s="81"/>
      <c r="AM84" s="81"/>
      <c r="AN84" s="81"/>
      <c r="AO84" s="81"/>
    </row>
    <row r="85" spans="2:41">
      <c r="B85" s="9">
        <v>77</v>
      </c>
      <c r="C85" s="31" t="s">
        <v>80</v>
      </c>
      <c r="D85" s="61" t="s">
        <v>571</v>
      </c>
      <c r="E85" s="290" t="s">
        <v>1705</v>
      </c>
      <c r="F85" s="100">
        <v>132189.78663510387</v>
      </c>
      <c r="G85" s="63"/>
      <c r="H85" s="63"/>
      <c r="I85" s="63">
        <v>1551.7523352655483</v>
      </c>
      <c r="J85" s="106">
        <v>1552.180872232824</v>
      </c>
      <c r="K85" s="106">
        <v>36400.310588551176</v>
      </c>
      <c r="L85" s="100">
        <v>132189.78663652079</v>
      </c>
      <c r="M85" s="106">
        <v>6561.4516336929273</v>
      </c>
      <c r="N85" s="100">
        <v>21158.610023975514</v>
      </c>
      <c r="O85" s="63">
        <f t="shared" si="5"/>
        <v>6561.4516336929273</v>
      </c>
      <c r="P85" s="63">
        <f t="shared" si="6"/>
        <v>6561.4516336929273</v>
      </c>
      <c r="Q85" s="107"/>
      <c r="R85" s="92"/>
      <c r="S85" s="108"/>
      <c r="T85" s="92"/>
      <c r="U85" s="109"/>
      <c r="V85" s="109"/>
      <c r="W85" s="107"/>
      <c r="X85" s="92"/>
      <c r="Y85" s="109"/>
      <c r="Z85" s="107"/>
      <c r="AA85" s="81"/>
      <c r="AB85" s="81"/>
      <c r="AC85" s="81"/>
      <c r="AD85" s="81"/>
      <c r="AE85" s="81"/>
      <c r="AF85" s="81"/>
      <c r="AG85" s="81"/>
      <c r="AH85" s="81"/>
      <c r="AI85" s="81"/>
      <c r="AJ85" s="81"/>
      <c r="AK85" s="81"/>
      <c r="AL85" s="81"/>
      <c r="AM85" s="81"/>
      <c r="AN85" s="81"/>
      <c r="AO85" s="81"/>
    </row>
    <row r="86" spans="2:41">
      <c r="B86" s="9">
        <v>78</v>
      </c>
      <c r="C86" s="29" t="s">
        <v>57</v>
      </c>
      <c r="D86" s="61" t="s">
        <v>571</v>
      </c>
      <c r="E86" s="290" t="s">
        <v>1546</v>
      </c>
      <c r="F86" s="100">
        <v>102891.31427988413</v>
      </c>
      <c r="G86" s="63"/>
      <c r="H86" s="63"/>
      <c r="I86" s="63">
        <v>46.239879433657372</v>
      </c>
      <c r="J86" s="106">
        <v>1793.8647083761477</v>
      </c>
      <c r="K86" s="106">
        <v>34986.957679294421</v>
      </c>
      <c r="L86" s="100">
        <v>102891.31427988413</v>
      </c>
      <c r="M86" s="106">
        <v>7638.3524440680731</v>
      </c>
      <c r="N86" s="100">
        <v>24163.169629486423</v>
      </c>
      <c r="O86" s="63">
        <f t="shared" si="5"/>
        <v>7638.3524440680731</v>
      </c>
      <c r="P86" s="63">
        <f t="shared" si="6"/>
        <v>7638.3524440680731</v>
      </c>
      <c r="Q86" s="107"/>
      <c r="R86" s="92"/>
      <c r="S86" s="108"/>
      <c r="T86" s="92"/>
      <c r="U86" s="109"/>
      <c r="V86" s="109"/>
      <c r="W86" s="107"/>
      <c r="X86" s="92"/>
      <c r="Y86" s="109"/>
      <c r="Z86" s="107"/>
      <c r="AA86" s="81"/>
      <c r="AB86" s="81"/>
      <c r="AC86" s="81"/>
      <c r="AD86" s="81"/>
      <c r="AE86" s="81"/>
      <c r="AF86" s="81"/>
      <c r="AG86" s="81"/>
      <c r="AH86" s="81"/>
      <c r="AI86" s="81"/>
      <c r="AJ86" s="81"/>
      <c r="AK86" s="81"/>
      <c r="AL86" s="81"/>
      <c r="AM86" s="81"/>
      <c r="AN86" s="81"/>
      <c r="AO86" s="81"/>
    </row>
    <row r="87" spans="2:41">
      <c r="B87" s="9">
        <v>79</v>
      </c>
      <c r="C87" s="31" t="s">
        <v>60</v>
      </c>
      <c r="D87" s="61" t="s">
        <v>571</v>
      </c>
      <c r="E87" s="290" t="s">
        <v>1562</v>
      </c>
      <c r="F87" s="100">
        <v>182888.49485101629</v>
      </c>
      <c r="G87" s="63"/>
      <c r="H87" s="63"/>
      <c r="I87" s="63">
        <v>76.471970905360237</v>
      </c>
      <c r="J87" s="106">
        <v>10484.285100122941</v>
      </c>
      <c r="K87" s="106">
        <v>121729.28648342009</v>
      </c>
      <c r="L87" s="100">
        <v>182888.49485101629</v>
      </c>
      <c r="M87" s="106">
        <v>45976.789528208894</v>
      </c>
      <c r="N87" s="100">
        <v>133822.39299683276</v>
      </c>
      <c r="O87" s="63">
        <f t="shared" si="5"/>
        <v>45976.789528208894</v>
      </c>
      <c r="P87" s="63">
        <f t="shared" si="6"/>
        <v>45976.789528208894</v>
      </c>
      <c r="Q87" s="107"/>
      <c r="R87" s="92"/>
      <c r="S87" s="108"/>
      <c r="T87" s="92"/>
      <c r="U87" s="109"/>
      <c r="V87" s="109"/>
      <c r="W87" s="107"/>
      <c r="X87" s="92"/>
      <c r="Y87" s="109"/>
      <c r="Z87" s="107"/>
      <c r="AA87" s="81"/>
      <c r="AB87" s="81"/>
      <c r="AC87" s="81"/>
      <c r="AD87" s="81"/>
      <c r="AE87" s="81"/>
      <c r="AF87" s="81"/>
      <c r="AG87" s="81"/>
      <c r="AH87" s="81"/>
      <c r="AI87" s="81"/>
      <c r="AJ87" s="81"/>
      <c r="AK87" s="81"/>
      <c r="AL87" s="81"/>
      <c r="AM87" s="81"/>
      <c r="AN87" s="81"/>
      <c r="AO87" s="81"/>
    </row>
    <row r="88" spans="2:41">
      <c r="B88" s="9">
        <v>80</v>
      </c>
      <c r="C88" s="31" t="s">
        <v>188</v>
      </c>
      <c r="D88" s="61" t="s">
        <v>571</v>
      </c>
      <c r="E88" s="290" t="s">
        <v>1758</v>
      </c>
      <c r="F88" s="100">
        <v>81.663115935719944</v>
      </c>
      <c r="G88" s="63"/>
      <c r="H88" s="63"/>
      <c r="I88" s="63">
        <v>1.6311214258584165E-2</v>
      </c>
      <c r="J88" s="106">
        <v>58.615873230531292</v>
      </c>
      <c r="K88" s="106">
        <v>81.663115935719944</v>
      </c>
      <c r="L88" s="100">
        <v>81.663115935719944</v>
      </c>
      <c r="M88" s="106">
        <v>203.823924907867</v>
      </c>
      <c r="N88" s="100">
        <v>151.05058289660283</v>
      </c>
      <c r="O88" s="63">
        <f t="shared" si="5"/>
        <v>81.663115935719944</v>
      </c>
      <c r="P88" s="63">
        <f t="shared" si="6"/>
        <v>151.05058289660283</v>
      </c>
      <c r="Q88" s="107"/>
      <c r="R88" s="92"/>
      <c r="S88" s="108"/>
      <c r="T88" s="92"/>
      <c r="U88" s="109"/>
      <c r="V88" s="109"/>
      <c r="W88" s="107"/>
      <c r="X88" s="92"/>
      <c r="Y88" s="109"/>
      <c r="Z88" s="107"/>
      <c r="AA88" s="81"/>
      <c r="AB88" s="81"/>
      <c r="AC88" s="81"/>
      <c r="AD88" s="81"/>
      <c r="AE88" s="81"/>
      <c r="AF88" s="81"/>
      <c r="AG88" s="81"/>
      <c r="AH88" s="81"/>
      <c r="AI88" s="81"/>
      <c r="AJ88" s="81"/>
      <c r="AK88" s="81"/>
      <c r="AL88" s="81"/>
      <c r="AM88" s="81"/>
      <c r="AN88" s="81"/>
      <c r="AO88" s="81"/>
    </row>
    <row r="89" spans="2:41" s="104" customFormat="1">
      <c r="B89" s="9">
        <v>81</v>
      </c>
      <c r="C89" s="31" t="s">
        <v>190</v>
      </c>
      <c r="D89" s="61">
        <v>3</v>
      </c>
      <c r="E89" s="290" t="s">
        <v>1498</v>
      </c>
      <c r="F89" s="100">
        <v>116.76512301839577</v>
      </c>
      <c r="G89" s="63"/>
      <c r="H89" s="63"/>
      <c r="I89" s="63">
        <v>3.5306628824072255E-2</v>
      </c>
      <c r="J89" s="106">
        <v>80.018436247711463</v>
      </c>
      <c r="K89" s="106">
        <v>116.76512301839577</v>
      </c>
      <c r="L89" s="100">
        <v>116.76512301839577</v>
      </c>
      <c r="M89" s="106">
        <v>720.66316306710121</v>
      </c>
      <c r="N89" s="100">
        <v>534.07170381298852</v>
      </c>
      <c r="O89" s="63">
        <f t="shared" si="5"/>
        <v>116.76512301839577</v>
      </c>
      <c r="P89" s="63">
        <f t="shared" si="6"/>
        <v>534.07170381298852</v>
      </c>
      <c r="Q89" s="107"/>
      <c r="R89" s="92"/>
      <c r="S89" s="108"/>
      <c r="T89" s="92"/>
      <c r="U89" s="109"/>
      <c r="V89" s="109"/>
      <c r="W89" s="107"/>
      <c r="X89" s="92"/>
      <c r="Y89" s="109"/>
      <c r="Z89" s="107"/>
      <c r="AA89" s="103"/>
      <c r="AB89" s="103"/>
      <c r="AC89" s="103"/>
      <c r="AD89" s="103"/>
      <c r="AE89" s="103"/>
      <c r="AF89" s="103"/>
      <c r="AG89" s="103"/>
      <c r="AH89" s="103"/>
      <c r="AI89" s="103"/>
      <c r="AJ89" s="103"/>
      <c r="AK89" s="103"/>
      <c r="AL89" s="103"/>
      <c r="AM89" s="103"/>
      <c r="AN89" s="103"/>
      <c r="AO89" s="103"/>
    </row>
    <row r="90" spans="2:41">
      <c r="B90" s="9">
        <v>82</v>
      </c>
      <c r="C90" s="31" t="s">
        <v>191</v>
      </c>
      <c r="D90" s="61" t="s">
        <v>571</v>
      </c>
      <c r="E90" s="290" t="s">
        <v>1685</v>
      </c>
      <c r="F90" s="100">
        <v>11676.512301839577</v>
      </c>
      <c r="G90" s="63"/>
      <c r="H90" s="63"/>
      <c r="I90" s="63">
        <v>4997.0585484187868</v>
      </c>
      <c r="J90" s="106">
        <v>8001.8436247711479</v>
      </c>
      <c r="K90" s="106">
        <v>11676.512301839577</v>
      </c>
      <c r="L90" s="100">
        <v>11676.512301839577</v>
      </c>
      <c r="M90" s="106">
        <v>72066.316306710127</v>
      </c>
      <c r="N90" s="100">
        <v>53407.170381298849</v>
      </c>
      <c r="O90" s="63">
        <f t="shared" si="5"/>
        <v>11676.512301839577</v>
      </c>
      <c r="P90" s="63">
        <f t="shared" si="6"/>
        <v>53407.170381298849</v>
      </c>
      <c r="Q90" s="107"/>
      <c r="R90" s="92"/>
      <c r="S90" s="108"/>
      <c r="T90" s="92"/>
      <c r="U90" s="109"/>
      <c r="V90" s="109"/>
      <c r="W90" s="107"/>
      <c r="X90" s="92"/>
      <c r="Y90" s="109"/>
      <c r="Z90" s="107"/>
      <c r="AA90" s="81"/>
      <c r="AB90" s="81"/>
      <c r="AC90" s="81"/>
      <c r="AD90" s="81"/>
      <c r="AE90" s="81"/>
      <c r="AF90" s="81"/>
      <c r="AG90" s="81"/>
      <c r="AH90" s="81"/>
      <c r="AI90" s="81"/>
      <c r="AJ90" s="81"/>
      <c r="AK90" s="81"/>
      <c r="AL90" s="81"/>
      <c r="AM90" s="81"/>
      <c r="AN90" s="81"/>
      <c r="AO90" s="81"/>
    </row>
    <row r="91" spans="2:41">
      <c r="B91" s="9">
        <v>83</v>
      </c>
      <c r="C91" s="31" t="s">
        <v>356</v>
      </c>
      <c r="D91" s="61" t="s">
        <v>571</v>
      </c>
      <c r="E91" s="290" t="s">
        <v>1653</v>
      </c>
      <c r="F91" s="100">
        <v>5838.2561509197885</v>
      </c>
      <c r="G91" s="63"/>
      <c r="H91" s="63"/>
      <c r="I91" s="63">
        <v>1.9769159154842482</v>
      </c>
      <c r="J91" s="106">
        <v>4000.921812385574</v>
      </c>
      <c r="K91" s="106">
        <v>5838.2561509197885</v>
      </c>
      <c r="L91" s="100">
        <v>5838.2561509197885</v>
      </c>
      <c r="M91" s="106">
        <v>36033.158153355063</v>
      </c>
      <c r="N91" s="100">
        <v>26703.585190649424</v>
      </c>
      <c r="O91" s="63">
        <f t="shared" si="5"/>
        <v>5838.2561509197885</v>
      </c>
      <c r="P91" s="63">
        <f t="shared" si="6"/>
        <v>26703.585190649424</v>
      </c>
      <c r="Q91" s="107"/>
      <c r="R91" s="92"/>
      <c r="S91" s="108"/>
      <c r="T91" s="92"/>
      <c r="U91" s="109"/>
      <c r="V91" s="109"/>
      <c r="W91" s="107"/>
      <c r="X91" s="92"/>
      <c r="Y91" s="109"/>
      <c r="Z91" s="107"/>
      <c r="AA91" s="81"/>
      <c r="AB91" s="81"/>
      <c r="AC91" s="81"/>
      <c r="AD91" s="81"/>
      <c r="AE91" s="81"/>
      <c r="AF91" s="81"/>
      <c r="AG91" s="81"/>
      <c r="AH91" s="81"/>
      <c r="AI91" s="81"/>
      <c r="AJ91" s="81"/>
      <c r="AK91" s="81"/>
      <c r="AL91" s="81"/>
      <c r="AM91" s="81"/>
      <c r="AN91" s="81"/>
      <c r="AO91" s="81"/>
    </row>
    <row r="92" spans="2:41" s="104" customFormat="1">
      <c r="B92" s="9">
        <v>84</v>
      </c>
      <c r="C92" s="31" t="s">
        <v>192</v>
      </c>
      <c r="D92" s="61" t="s">
        <v>571</v>
      </c>
      <c r="E92" s="290" t="s">
        <v>1482</v>
      </c>
      <c r="F92" s="100">
        <v>7005.9073811037451</v>
      </c>
      <c r="G92" s="63"/>
      <c r="H92" s="63"/>
      <c r="I92" s="63">
        <v>1.8545866093730441</v>
      </c>
      <c r="J92" s="106">
        <v>4801.106174862688</v>
      </c>
      <c r="K92" s="106">
        <v>7005.9073811037451</v>
      </c>
      <c r="L92" s="100">
        <v>7005.9073811037451</v>
      </c>
      <c r="M92" s="106">
        <v>43239.78978402607</v>
      </c>
      <c r="N92" s="100">
        <v>32044.30222877931</v>
      </c>
      <c r="O92" s="63">
        <f t="shared" si="5"/>
        <v>7005.9073811037451</v>
      </c>
      <c r="P92" s="63">
        <f t="shared" si="6"/>
        <v>32044.30222877931</v>
      </c>
      <c r="Q92" s="107"/>
      <c r="R92" s="92"/>
      <c r="S92" s="108"/>
      <c r="T92" s="92"/>
      <c r="U92" s="109"/>
      <c r="V92" s="109"/>
      <c r="W92" s="107"/>
      <c r="X92" s="92"/>
      <c r="Y92" s="109"/>
      <c r="Z92" s="107"/>
      <c r="AA92" s="103"/>
      <c r="AB92" s="103"/>
      <c r="AC92" s="103"/>
      <c r="AD92" s="103"/>
      <c r="AE92" s="103"/>
      <c r="AF92" s="103"/>
      <c r="AG92" s="103"/>
      <c r="AH92" s="103"/>
      <c r="AI92" s="103"/>
      <c r="AJ92" s="103"/>
      <c r="AK92" s="103"/>
      <c r="AL92" s="103"/>
      <c r="AM92" s="103"/>
      <c r="AN92" s="103"/>
      <c r="AO92" s="103"/>
    </row>
    <row r="93" spans="2:41">
      <c r="B93" s="9">
        <v>85</v>
      </c>
      <c r="C93" s="31" t="s">
        <v>61</v>
      </c>
      <c r="D93" s="61" t="s">
        <v>571</v>
      </c>
      <c r="E93" s="290" t="s">
        <v>1565</v>
      </c>
      <c r="F93" s="100">
        <v>2765.3862817462082</v>
      </c>
      <c r="G93" s="63"/>
      <c r="H93" s="63"/>
      <c r="I93" s="63">
        <v>23.083695369697121</v>
      </c>
      <c r="J93" s="106">
        <v>23.083695369697121</v>
      </c>
      <c r="K93" s="106">
        <v>585.86474395599214</v>
      </c>
      <c r="L93" s="100">
        <v>2765.3862817462082</v>
      </c>
      <c r="M93" s="106">
        <v>97.323771501693329</v>
      </c>
      <c r="N93" s="100">
        <v>316.5586190713297</v>
      </c>
      <c r="O93" s="63">
        <f t="shared" si="5"/>
        <v>97.323771501693329</v>
      </c>
      <c r="P93" s="63">
        <f t="shared" si="6"/>
        <v>97.323771501693329</v>
      </c>
      <c r="Q93" s="107"/>
      <c r="R93" s="92"/>
      <c r="S93" s="108"/>
      <c r="T93" s="92"/>
      <c r="U93" s="109"/>
      <c r="V93" s="109"/>
      <c r="W93" s="107"/>
      <c r="X93" s="92"/>
      <c r="Y93" s="109"/>
      <c r="Z93" s="107"/>
      <c r="AA93" s="81"/>
      <c r="AB93" s="81"/>
      <c r="AC93" s="81"/>
      <c r="AD93" s="81"/>
      <c r="AE93" s="81"/>
      <c r="AF93" s="81"/>
      <c r="AG93" s="81"/>
      <c r="AH93" s="81"/>
      <c r="AI93" s="81"/>
      <c r="AJ93" s="81"/>
      <c r="AK93" s="81"/>
      <c r="AL93" s="81"/>
      <c r="AM93" s="81"/>
      <c r="AN93" s="81"/>
      <c r="AO93" s="81"/>
    </row>
    <row r="94" spans="2:41">
      <c r="B94" s="9">
        <v>86</v>
      </c>
      <c r="C94" s="30" t="s">
        <v>357</v>
      </c>
      <c r="D94" s="61" t="s">
        <v>571</v>
      </c>
      <c r="E94" s="290" t="s">
        <v>1508</v>
      </c>
      <c r="F94" s="100"/>
      <c r="G94" s="63"/>
      <c r="H94" s="63"/>
      <c r="I94" s="63"/>
      <c r="J94" s="106"/>
      <c r="K94" s="106"/>
      <c r="L94" s="100"/>
      <c r="M94" s="106"/>
      <c r="N94" s="100"/>
      <c r="O94" s="63"/>
      <c r="P94" s="63"/>
      <c r="Q94" s="107"/>
      <c r="R94" s="92"/>
      <c r="S94" s="108"/>
      <c r="T94" s="92"/>
      <c r="U94" s="109"/>
      <c r="V94" s="109"/>
      <c r="W94" s="107"/>
      <c r="X94" s="92"/>
      <c r="Y94" s="109"/>
      <c r="Z94" s="107"/>
      <c r="AA94" s="81"/>
      <c r="AB94" s="81"/>
      <c r="AC94" s="81"/>
      <c r="AD94" s="81"/>
      <c r="AE94" s="81"/>
      <c r="AF94" s="81"/>
      <c r="AG94" s="81"/>
      <c r="AH94" s="81"/>
      <c r="AI94" s="81"/>
      <c r="AJ94" s="81"/>
      <c r="AK94" s="81"/>
      <c r="AL94" s="81"/>
      <c r="AM94" s="81"/>
      <c r="AN94" s="81"/>
      <c r="AO94" s="81"/>
    </row>
    <row r="95" spans="2:41">
      <c r="B95" s="9">
        <v>87</v>
      </c>
      <c r="C95" s="30" t="s">
        <v>358</v>
      </c>
      <c r="D95" s="61" t="s">
        <v>571</v>
      </c>
      <c r="E95" s="290" t="s">
        <v>1520</v>
      </c>
      <c r="F95" s="100"/>
      <c r="G95" s="63"/>
      <c r="H95" s="63"/>
      <c r="I95" s="63"/>
      <c r="J95" s="106"/>
      <c r="K95" s="106"/>
      <c r="L95" s="100"/>
      <c r="M95" s="106"/>
      <c r="N95" s="100"/>
      <c r="O95" s="63"/>
      <c r="P95" s="63"/>
      <c r="Q95" s="107"/>
      <c r="R95" s="92"/>
      <c r="S95" s="108"/>
      <c r="T95" s="92"/>
      <c r="U95" s="109"/>
      <c r="V95" s="109"/>
      <c r="W95" s="107"/>
      <c r="X95" s="92"/>
      <c r="Y95" s="109"/>
      <c r="Z95" s="107"/>
      <c r="AA95" s="81"/>
      <c r="AB95" s="81"/>
      <c r="AC95" s="81"/>
      <c r="AD95" s="81"/>
      <c r="AE95" s="81"/>
      <c r="AF95" s="81"/>
      <c r="AG95" s="81"/>
      <c r="AH95" s="81"/>
      <c r="AI95" s="81"/>
      <c r="AJ95" s="81"/>
      <c r="AK95" s="81"/>
      <c r="AL95" s="81"/>
      <c r="AM95" s="81"/>
      <c r="AN95" s="81"/>
      <c r="AO95" s="81"/>
    </row>
    <row r="96" spans="2:41">
      <c r="B96" s="9">
        <v>88</v>
      </c>
      <c r="C96" s="31" t="s">
        <v>359</v>
      </c>
      <c r="D96" s="61" t="s">
        <v>571</v>
      </c>
      <c r="E96" s="290" t="s">
        <v>1722</v>
      </c>
      <c r="F96" s="100"/>
      <c r="G96" s="63"/>
      <c r="H96" s="63"/>
      <c r="I96" s="63"/>
      <c r="J96" s="106"/>
      <c r="K96" s="106"/>
      <c r="L96" s="100"/>
      <c r="M96" s="106"/>
      <c r="N96" s="100"/>
      <c r="O96" s="63"/>
      <c r="P96" s="63"/>
      <c r="Q96" s="107"/>
      <c r="R96" s="92"/>
      <c r="S96" s="108"/>
      <c r="T96" s="92"/>
      <c r="U96" s="109"/>
      <c r="V96" s="109"/>
      <c r="W96" s="107"/>
      <c r="X96" s="92"/>
      <c r="Y96" s="109"/>
      <c r="Z96" s="107"/>
      <c r="AA96" s="81"/>
      <c r="AB96" s="81"/>
      <c r="AC96" s="81"/>
      <c r="AD96" s="81"/>
      <c r="AE96" s="81"/>
      <c r="AF96" s="81"/>
      <c r="AG96" s="81"/>
      <c r="AH96" s="81"/>
      <c r="AI96" s="81"/>
      <c r="AJ96" s="81"/>
      <c r="AK96" s="81"/>
      <c r="AL96" s="81"/>
      <c r="AM96" s="81"/>
      <c r="AN96" s="81"/>
      <c r="AO96" s="81"/>
    </row>
    <row r="97" spans="2:41">
      <c r="B97" s="9">
        <v>89</v>
      </c>
      <c r="C97" s="31" t="s">
        <v>360</v>
      </c>
      <c r="D97" s="61" t="s">
        <v>571</v>
      </c>
      <c r="E97" s="290" t="s">
        <v>1745</v>
      </c>
      <c r="F97" s="100"/>
      <c r="G97" s="63"/>
      <c r="H97" s="63"/>
      <c r="I97" s="63"/>
      <c r="J97" s="106"/>
      <c r="K97" s="106"/>
      <c r="L97" s="100"/>
      <c r="M97" s="106"/>
      <c r="N97" s="100"/>
      <c r="O97" s="63"/>
      <c r="P97" s="63"/>
      <c r="Q97" s="107"/>
      <c r="R97" s="92"/>
      <c r="S97" s="108"/>
      <c r="T97" s="92"/>
      <c r="U97" s="109"/>
      <c r="V97" s="109"/>
      <c r="W97" s="107"/>
      <c r="X97" s="92"/>
      <c r="Y97" s="109"/>
      <c r="Z97" s="107"/>
      <c r="AA97" s="81"/>
      <c r="AB97" s="81"/>
      <c r="AC97" s="81"/>
      <c r="AD97" s="81"/>
      <c r="AE97" s="81"/>
      <c r="AF97" s="81"/>
      <c r="AG97" s="81"/>
      <c r="AH97" s="81"/>
      <c r="AI97" s="81"/>
      <c r="AJ97" s="81"/>
      <c r="AK97" s="81"/>
      <c r="AL97" s="81"/>
      <c r="AM97" s="81"/>
      <c r="AN97" s="81"/>
      <c r="AO97" s="81"/>
    </row>
    <row r="98" spans="2:41">
      <c r="B98" s="9">
        <v>90</v>
      </c>
      <c r="C98" s="31" t="s">
        <v>47</v>
      </c>
      <c r="D98" s="61" t="s">
        <v>572</v>
      </c>
      <c r="E98" s="290" t="s">
        <v>1466</v>
      </c>
      <c r="F98" s="100">
        <v>20.319793706751607</v>
      </c>
      <c r="G98" s="63"/>
      <c r="H98" s="63"/>
      <c r="I98" s="63">
        <v>1.383348914369399E-2</v>
      </c>
      <c r="J98" s="63">
        <v>9.4746856798657936E-2</v>
      </c>
      <c r="K98" s="106">
        <v>2.64730523226079</v>
      </c>
      <c r="L98" s="100">
        <v>20.319793706751607</v>
      </c>
      <c r="M98" s="106">
        <v>0.61759195926919686</v>
      </c>
      <c r="N98" s="100">
        <v>2.0370105623443111</v>
      </c>
      <c r="O98" s="63">
        <f>MIN(K98,L98,M98,N98)</f>
        <v>0.61759195926919686</v>
      </c>
      <c r="P98" s="63">
        <f>MIN(M98,N98)</f>
        <v>0.61759195926919686</v>
      </c>
      <c r="Q98" s="107"/>
      <c r="R98" s="92"/>
      <c r="S98" s="108"/>
      <c r="T98" s="92"/>
      <c r="U98" s="109"/>
      <c r="V98" s="109"/>
      <c r="W98" s="107"/>
      <c r="X98" s="92"/>
      <c r="Y98" s="109"/>
      <c r="Z98" s="109"/>
      <c r="AA98" s="81"/>
      <c r="AB98" s="81"/>
      <c r="AC98" s="81"/>
      <c r="AD98" s="81"/>
      <c r="AE98" s="81"/>
      <c r="AF98" s="81"/>
      <c r="AG98" s="81"/>
      <c r="AH98" s="81"/>
      <c r="AI98" s="81"/>
      <c r="AJ98" s="81"/>
      <c r="AK98" s="81"/>
      <c r="AL98" s="81"/>
      <c r="AM98" s="81"/>
      <c r="AN98" s="81"/>
      <c r="AO98" s="81"/>
    </row>
    <row r="99" spans="2:41">
      <c r="B99" s="9">
        <v>91</v>
      </c>
      <c r="C99" s="31" t="s">
        <v>56</v>
      </c>
      <c r="D99" s="61" t="s">
        <v>571</v>
      </c>
      <c r="E99" s="290" t="s">
        <v>1532</v>
      </c>
      <c r="F99" s="100">
        <v>23353.024603679154</v>
      </c>
      <c r="G99" s="63"/>
      <c r="H99" s="63"/>
      <c r="I99" s="63">
        <v>7.9058585632262748</v>
      </c>
      <c r="J99" s="106">
        <v>16003.687249542296</v>
      </c>
      <c r="K99" s="106">
        <v>23353.024603679154</v>
      </c>
      <c r="L99" s="100">
        <v>23353.024603679154</v>
      </c>
      <c r="M99" s="106">
        <v>144132.63261342025</v>
      </c>
      <c r="N99" s="100">
        <v>106814.3407625977</v>
      </c>
      <c r="O99" s="63">
        <f>MIN(K99,L99,M99,N99)</f>
        <v>23353.024603679154</v>
      </c>
      <c r="P99" s="63">
        <f>MIN(M99,N99)</f>
        <v>106814.3407625977</v>
      </c>
      <c r="Q99" s="107"/>
      <c r="R99" s="92"/>
      <c r="S99" s="108"/>
      <c r="T99" s="92"/>
      <c r="U99" s="109"/>
      <c r="V99" s="109"/>
      <c r="W99" s="107"/>
      <c r="X99" s="92"/>
      <c r="Y99" s="109"/>
      <c r="Z99" s="107"/>
      <c r="AA99" s="81"/>
      <c r="AB99" s="81"/>
      <c r="AC99" s="81"/>
      <c r="AD99" s="81"/>
      <c r="AE99" s="81"/>
      <c r="AF99" s="81"/>
      <c r="AG99" s="81"/>
      <c r="AH99" s="81"/>
      <c r="AI99" s="81"/>
      <c r="AJ99" s="81"/>
      <c r="AK99" s="81"/>
      <c r="AL99" s="81"/>
      <c r="AM99" s="81"/>
      <c r="AN99" s="81"/>
      <c r="AO99" s="81"/>
    </row>
    <row r="100" spans="2:41" s="104" customFormat="1">
      <c r="B100" s="9">
        <v>92</v>
      </c>
      <c r="C100" s="31" t="s">
        <v>361</v>
      </c>
      <c r="D100" s="61" t="s">
        <v>571</v>
      </c>
      <c r="E100" s="290" t="s">
        <v>1477</v>
      </c>
      <c r="F100" s="462"/>
      <c r="G100" s="459"/>
      <c r="H100" s="459"/>
      <c r="I100" s="459"/>
      <c r="J100" s="458"/>
      <c r="K100" s="458"/>
      <c r="L100" s="462"/>
      <c r="M100" s="458"/>
      <c r="N100" s="462"/>
      <c r="O100" s="459"/>
      <c r="P100" s="459"/>
      <c r="Q100" s="107"/>
      <c r="R100" s="92"/>
      <c r="S100" s="108"/>
      <c r="T100" s="92"/>
      <c r="U100" s="109"/>
      <c r="V100" s="109"/>
      <c r="W100" s="107"/>
      <c r="X100" s="92"/>
      <c r="Y100" s="109"/>
      <c r="Z100" s="107"/>
      <c r="AA100" s="103"/>
      <c r="AB100" s="103"/>
      <c r="AC100" s="103"/>
      <c r="AD100" s="103"/>
      <c r="AE100" s="103"/>
      <c r="AF100" s="103"/>
      <c r="AG100" s="103"/>
      <c r="AH100" s="103"/>
      <c r="AI100" s="103"/>
      <c r="AJ100" s="103"/>
      <c r="AK100" s="103"/>
      <c r="AL100" s="103"/>
      <c r="AM100" s="103"/>
      <c r="AN100" s="103"/>
      <c r="AO100" s="103"/>
    </row>
    <row r="101" spans="2:41" s="104" customFormat="1">
      <c r="B101" s="9">
        <v>93</v>
      </c>
      <c r="C101" s="31" t="s">
        <v>362</v>
      </c>
      <c r="D101" s="61" t="s">
        <v>571</v>
      </c>
      <c r="E101" s="290" t="s">
        <v>1531</v>
      </c>
      <c r="F101" s="462"/>
      <c r="G101" s="459"/>
      <c r="H101" s="459"/>
      <c r="I101" s="459"/>
      <c r="J101" s="458"/>
      <c r="K101" s="458"/>
      <c r="L101" s="462"/>
      <c r="M101" s="458"/>
      <c r="N101" s="462"/>
      <c r="O101" s="459"/>
      <c r="P101" s="459"/>
      <c r="Q101" s="107"/>
      <c r="R101" s="92"/>
      <c r="S101" s="108"/>
      <c r="T101" s="92"/>
      <c r="U101" s="109"/>
      <c r="V101" s="109"/>
      <c r="W101" s="107"/>
      <c r="X101" s="92"/>
      <c r="Y101" s="109"/>
      <c r="Z101" s="107"/>
      <c r="AA101" s="103"/>
      <c r="AB101" s="103"/>
      <c r="AC101" s="103"/>
      <c r="AD101" s="103"/>
      <c r="AE101" s="103"/>
      <c r="AF101" s="103"/>
      <c r="AG101" s="103"/>
      <c r="AH101" s="103"/>
      <c r="AI101" s="103"/>
      <c r="AJ101" s="103"/>
      <c r="AK101" s="103"/>
      <c r="AL101" s="103"/>
      <c r="AM101" s="103"/>
      <c r="AN101" s="103"/>
      <c r="AO101" s="103"/>
    </row>
    <row r="102" spans="2:41">
      <c r="B102" s="9">
        <v>94</v>
      </c>
      <c r="C102" s="31" t="s">
        <v>363</v>
      </c>
      <c r="D102" s="61" t="s">
        <v>571</v>
      </c>
      <c r="E102" s="290" t="s">
        <v>1760</v>
      </c>
      <c r="F102" s="100"/>
      <c r="G102" s="63"/>
      <c r="H102" s="63"/>
      <c r="I102" s="63"/>
      <c r="J102" s="106"/>
      <c r="K102" s="106"/>
      <c r="L102" s="100"/>
      <c r="M102" s="106"/>
      <c r="N102" s="100"/>
      <c r="O102" s="63"/>
      <c r="P102" s="63"/>
      <c r="Q102" s="107"/>
      <c r="R102" s="110"/>
      <c r="S102" s="108"/>
      <c r="T102" s="92"/>
      <c r="U102" s="109"/>
      <c r="V102" s="109"/>
      <c r="W102" s="107"/>
      <c r="X102" s="92"/>
      <c r="Y102" s="109"/>
      <c r="Z102" s="107"/>
      <c r="AA102" s="81"/>
      <c r="AB102" s="81"/>
      <c r="AC102" s="81"/>
      <c r="AD102" s="81"/>
      <c r="AE102" s="81"/>
      <c r="AF102" s="81"/>
      <c r="AG102" s="81"/>
      <c r="AH102" s="81"/>
      <c r="AI102" s="81"/>
      <c r="AJ102" s="81"/>
      <c r="AK102" s="81"/>
      <c r="AL102" s="81"/>
      <c r="AM102" s="81"/>
      <c r="AN102" s="81"/>
      <c r="AO102" s="81"/>
    </row>
    <row r="103" spans="2:41">
      <c r="B103" s="9">
        <v>95</v>
      </c>
      <c r="C103" s="31" t="s">
        <v>364</v>
      </c>
      <c r="D103" s="61" t="s">
        <v>571</v>
      </c>
      <c r="E103" s="290" t="s">
        <v>1777</v>
      </c>
      <c r="F103" s="100"/>
      <c r="G103" s="63"/>
      <c r="H103" s="63"/>
      <c r="I103" s="63"/>
      <c r="J103" s="106"/>
      <c r="K103" s="106"/>
      <c r="L103" s="100"/>
      <c r="M103" s="106"/>
      <c r="N103" s="100"/>
      <c r="O103" s="63"/>
      <c r="P103" s="63"/>
      <c r="Q103" s="107"/>
      <c r="R103" s="110"/>
      <c r="S103" s="108"/>
      <c r="T103" s="92"/>
      <c r="U103" s="109"/>
      <c r="V103" s="109"/>
      <c r="W103" s="107"/>
      <c r="X103" s="92"/>
      <c r="Y103" s="109"/>
      <c r="Z103" s="107"/>
      <c r="AA103" s="81"/>
      <c r="AB103" s="81"/>
      <c r="AC103" s="81"/>
      <c r="AD103" s="81"/>
      <c r="AE103" s="81"/>
      <c r="AF103" s="81"/>
      <c r="AG103" s="81"/>
      <c r="AH103" s="81"/>
      <c r="AI103" s="81"/>
      <c r="AJ103" s="81"/>
      <c r="AK103" s="81"/>
      <c r="AL103" s="81"/>
      <c r="AM103" s="81"/>
      <c r="AN103" s="81"/>
      <c r="AO103" s="81"/>
    </row>
    <row r="104" spans="2:41">
      <c r="B104" s="9">
        <v>96</v>
      </c>
      <c r="C104" s="31" t="s">
        <v>365</v>
      </c>
      <c r="D104" s="61" t="s">
        <v>571</v>
      </c>
      <c r="E104" s="290" t="s">
        <v>1527</v>
      </c>
      <c r="F104" s="100"/>
      <c r="G104" s="63"/>
      <c r="H104" s="63"/>
      <c r="I104" s="63"/>
      <c r="J104" s="106"/>
      <c r="K104" s="106"/>
      <c r="L104" s="100"/>
      <c r="M104" s="106"/>
      <c r="N104" s="100"/>
      <c r="O104" s="63"/>
      <c r="P104" s="63"/>
      <c r="Q104" s="107"/>
      <c r="R104" s="92"/>
      <c r="S104" s="108"/>
      <c r="T104" s="92"/>
      <c r="U104" s="109"/>
      <c r="V104" s="109"/>
      <c r="W104" s="107"/>
      <c r="X104" s="92"/>
      <c r="Y104" s="109"/>
      <c r="Z104" s="109"/>
      <c r="AA104" s="81"/>
      <c r="AB104" s="81"/>
      <c r="AC104" s="81"/>
      <c r="AD104" s="81"/>
      <c r="AE104" s="81"/>
      <c r="AF104" s="81"/>
      <c r="AG104" s="81"/>
      <c r="AH104" s="81"/>
      <c r="AI104" s="81"/>
      <c r="AJ104" s="81"/>
      <c r="AK104" s="81"/>
      <c r="AL104" s="81"/>
      <c r="AM104" s="81"/>
      <c r="AN104" s="81"/>
      <c r="AO104" s="81"/>
    </row>
    <row r="105" spans="2:41">
      <c r="B105" s="9">
        <v>97</v>
      </c>
      <c r="C105" s="31" t="s">
        <v>366</v>
      </c>
      <c r="D105" s="61">
        <v>1</v>
      </c>
      <c r="E105" s="290" t="s">
        <v>1668</v>
      </c>
      <c r="F105" s="100"/>
      <c r="G105" s="63"/>
      <c r="H105" s="63"/>
      <c r="I105" s="63"/>
      <c r="J105" s="106"/>
      <c r="K105" s="106"/>
      <c r="L105" s="100"/>
      <c r="M105" s="106"/>
      <c r="N105" s="100"/>
      <c r="O105" s="63"/>
      <c r="P105" s="63"/>
      <c r="Q105" s="107"/>
      <c r="R105" s="110"/>
      <c r="S105" s="108"/>
      <c r="T105" s="92"/>
      <c r="U105" s="109"/>
      <c r="V105" s="109"/>
      <c r="W105" s="107"/>
      <c r="X105" s="92"/>
      <c r="Y105" s="109"/>
      <c r="Z105" s="107"/>
      <c r="AA105" s="81"/>
      <c r="AB105" s="81"/>
      <c r="AC105" s="81"/>
      <c r="AD105" s="81"/>
      <c r="AE105" s="81"/>
      <c r="AF105" s="81"/>
      <c r="AG105" s="81"/>
      <c r="AH105" s="81"/>
      <c r="AI105" s="81"/>
      <c r="AJ105" s="81"/>
      <c r="AK105" s="81"/>
      <c r="AL105" s="81"/>
      <c r="AM105" s="81"/>
      <c r="AN105" s="81"/>
      <c r="AO105" s="81"/>
    </row>
    <row r="106" spans="2:41">
      <c r="B106" s="9">
        <v>98</v>
      </c>
      <c r="C106" s="31" t="s">
        <v>367</v>
      </c>
      <c r="D106" s="61" t="s">
        <v>571</v>
      </c>
      <c r="E106" s="290" t="s">
        <v>1535</v>
      </c>
      <c r="F106" s="100"/>
      <c r="G106" s="63"/>
      <c r="H106" s="63"/>
      <c r="I106" s="63"/>
      <c r="J106" s="106"/>
      <c r="K106" s="106"/>
      <c r="L106" s="100"/>
      <c r="M106" s="106"/>
      <c r="N106" s="100"/>
      <c r="O106" s="63"/>
      <c r="P106" s="63"/>
      <c r="Q106" s="107"/>
      <c r="R106" s="110"/>
      <c r="S106" s="108"/>
      <c r="T106" s="92"/>
      <c r="U106" s="109"/>
      <c r="V106" s="109"/>
      <c r="W106" s="107"/>
      <c r="X106" s="92"/>
      <c r="Y106" s="109"/>
      <c r="Z106" s="107"/>
      <c r="AA106" s="81"/>
      <c r="AB106" s="81"/>
      <c r="AC106" s="81"/>
      <c r="AD106" s="81"/>
      <c r="AE106" s="81"/>
      <c r="AF106" s="81"/>
      <c r="AG106" s="81"/>
      <c r="AH106" s="81"/>
      <c r="AI106" s="81"/>
      <c r="AJ106" s="81"/>
      <c r="AK106" s="81"/>
      <c r="AL106" s="81"/>
      <c r="AM106" s="81"/>
      <c r="AN106" s="81"/>
      <c r="AO106" s="81"/>
    </row>
    <row r="107" spans="2:41">
      <c r="B107" s="9">
        <v>99</v>
      </c>
      <c r="C107" s="31" t="s">
        <v>368</v>
      </c>
      <c r="D107" s="61" t="s">
        <v>571</v>
      </c>
      <c r="E107" s="290" t="s">
        <v>1642</v>
      </c>
      <c r="F107" s="100"/>
      <c r="G107" s="63"/>
      <c r="H107" s="63"/>
      <c r="I107" s="63"/>
      <c r="J107" s="106"/>
      <c r="K107" s="106"/>
      <c r="L107" s="100"/>
      <c r="M107" s="106"/>
      <c r="N107" s="100"/>
      <c r="O107" s="63"/>
      <c r="P107" s="63"/>
      <c r="Q107" s="107"/>
      <c r="R107" s="92"/>
      <c r="S107" s="108"/>
      <c r="T107" s="92"/>
      <c r="U107" s="109"/>
      <c r="V107" s="109"/>
      <c r="W107" s="107"/>
      <c r="X107" s="92"/>
      <c r="Y107" s="109"/>
      <c r="Z107" s="107"/>
      <c r="AA107" s="81"/>
      <c r="AB107" s="81"/>
      <c r="AC107" s="81"/>
      <c r="AD107" s="81"/>
      <c r="AE107" s="81"/>
      <c r="AF107" s="81"/>
      <c r="AG107" s="81"/>
      <c r="AH107" s="81"/>
      <c r="AI107" s="81"/>
      <c r="AJ107" s="81"/>
      <c r="AK107" s="81"/>
      <c r="AL107" s="81"/>
      <c r="AM107" s="81"/>
      <c r="AN107" s="81"/>
      <c r="AO107" s="81"/>
    </row>
    <row r="108" spans="2:41">
      <c r="B108" s="9">
        <v>100</v>
      </c>
      <c r="C108" s="95" t="s">
        <v>369</v>
      </c>
      <c r="D108" s="61" t="s">
        <v>571</v>
      </c>
      <c r="E108" s="290" t="s">
        <v>1558</v>
      </c>
      <c r="F108" s="100"/>
      <c r="G108" s="63"/>
      <c r="H108" s="63"/>
      <c r="I108" s="63"/>
      <c r="J108" s="100"/>
      <c r="K108" s="100"/>
      <c r="L108" s="100"/>
      <c r="M108" s="100"/>
      <c r="N108" s="100"/>
      <c r="O108" s="63"/>
      <c r="P108" s="63"/>
      <c r="Q108" s="107"/>
      <c r="R108" s="92"/>
      <c r="S108" s="108"/>
      <c r="T108" s="92"/>
      <c r="U108" s="107"/>
      <c r="V108" s="107"/>
      <c r="W108" s="107"/>
      <c r="X108" s="92"/>
      <c r="Y108" s="107"/>
      <c r="Z108" s="107"/>
      <c r="AA108" s="81"/>
      <c r="AB108" s="81"/>
      <c r="AC108" s="81"/>
      <c r="AD108" s="81"/>
      <c r="AE108" s="81"/>
      <c r="AF108" s="81"/>
      <c r="AG108" s="81"/>
      <c r="AH108" s="81"/>
      <c r="AI108" s="81"/>
      <c r="AJ108" s="81"/>
      <c r="AK108" s="81"/>
      <c r="AL108" s="81"/>
      <c r="AM108" s="81"/>
      <c r="AN108" s="81"/>
      <c r="AO108" s="81"/>
    </row>
    <row r="109" spans="2:41">
      <c r="B109" s="9">
        <v>101</v>
      </c>
      <c r="C109" s="31" t="s">
        <v>370</v>
      </c>
      <c r="D109" s="61" t="s">
        <v>571</v>
      </c>
      <c r="E109" s="290" t="s">
        <v>1717</v>
      </c>
      <c r="F109" s="63"/>
      <c r="G109" s="98"/>
      <c r="H109" s="98"/>
      <c r="I109" s="98"/>
      <c r="J109" s="63"/>
      <c r="K109" s="63"/>
      <c r="L109" s="63"/>
      <c r="M109" s="63"/>
      <c r="N109" s="63"/>
      <c r="O109" s="63"/>
      <c r="P109" s="63"/>
      <c r="Q109" s="92"/>
      <c r="R109" s="92"/>
      <c r="S109" s="99"/>
      <c r="T109" s="92"/>
      <c r="U109" s="92"/>
      <c r="V109" s="92"/>
      <c r="W109" s="92"/>
      <c r="X109" s="92"/>
      <c r="Y109" s="92"/>
      <c r="Z109" s="92"/>
      <c r="AA109" s="81"/>
      <c r="AB109" s="81"/>
      <c r="AC109" s="81"/>
      <c r="AD109" s="81"/>
      <c r="AE109" s="81"/>
      <c r="AF109" s="81"/>
      <c r="AG109" s="81"/>
      <c r="AH109" s="81"/>
      <c r="AI109" s="81"/>
      <c r="AJ109" s="81"/>
      <c r="AK109" s="81"/>
      <c r="AL109" s="81"/>
      <c r="AM109" s="81"/>
      <c r="AN109" s="81"/>
      <c r="AO109" s="81"/>
    </row>
    <row r="110" spans="2:41">
      <c r="B110" s="9">
        <v>102</v>
      </c>
      <c r="C110" s="31" t="s">
        <v>112</v>
      </c>
      <c r="D110" s="61">
        <v>3</v>
      </c>
      <c r="E110" s="290" t="s">
        <v>1605</v>
      </c>
      <c r="F110" s="100">
        <v>46505.798913669598</v>
      </c>
      <c r="G110" s="63"/>
      <c r="H110" s="63"/>
      <c r="I110" s="63">
        <v>24.01941644240625</v>
      </c>
      <c r="J110" s="106">
        <v>31712.518003351866</v>
      </c>
      <c r="K110" s="106">
        <v>46045.773936902682</v>
      </c>
      <c r="L110" s="100">
        <v>46505.798913669598</v>
      </c>
      <c r="M110" s="106">
        <v>287159.19774426933</v>
      </c>
      <c r="N110" s="100">
        <v>212808.99297273095</v>
      </c>
      <c r="O110" s="63">
        <f>MIN(K110,L110,M110,N110)</f>
        <v>46045.773936902682</v>
      </c>
      <c r="P110" s="63">
        <f>MIN(M110,N110)</f>
        <v>212808.99297273095</v>
      </c>
      <c r="Q110" s="107"/>
      <c r="R110" s="92"/>
      <c r="S110" s="108"/>
      <c r="T110" s="92"/>
      <c r="U110" s="109"/>
      <c r="V110" s="109"/>
      <c r="W110" s="107"/>
      <c r="X110" s="92"/>
      <c r="Y110" s="109"/>
      <c r="Z110" s="107"/>
      <c r="AA110" s="81"/>
      <c r="AB110" s="81"/>
      <c r="AC110" s="81"/>
      <c r="AD110" s="81"/>
      <c r="AE110" s="81"/>
      <c r="AF110" s="81"/>
      <c r="AG110" s="81"/>
      <c r="AH110" s="81"/>
      <c r="AI110" s="81"/>
      <c r="AJ110" s="81"/>
      <c r="AK110" s="81"/>
      <c r="AL110" s="81"/>
      <c r="AM110" s="81"/>
      <c r="AN110" s="81"/>
      <c r="AO110" s="81"/>
    </row>
    <row r="111" spans="2:41">
      <c r="B111" s="9">
        <v>103</v>
      </c>
      <c r="C111" s="31" t="s">
        <v>113</v>
      </c>
      <c r="D111" s="61" t="s">
        <v>571</v>
      </c>
      <c r="E111" s="290" t="s">
        <v>1640</v>
      </c>
      <c r="F111" s="100">
        <v>107789.24049059166</v>
      </c>
      <c r="G111" s="63"/>
      <c r="H111" s="63"/>
      <c r="I111" s="63">
        <v>134.55347642306737</v>
      </c>
      <c r="J111" s="106">
        <v>69578.796529885614</v>
      </c>
      <c r="K111" s="106">
        <v>95273.381506507925</v>
      </c>
      <c r="L111" s="100">
        <v>107789.24049059166</v>
      </c>
      <c r="M111" s="106">
        <v>928323.89517030586</v>
      </c>
      <c r="N111" s="100">
        <v>687965.68187813996</v>
      </c>
      <c r="O111" s="63">
        <f>MIN(K111,L111,M111,N111)</f>
        <v>95273.381506507925</v>
      </c>
      <c r="P111" s="63">
        <f>MIN(M111,N111)</f>
        <v>687965.68187813996</v>
      </c>
      <c r="Q111" s="107"/>
      <c r="R111" s="92"/>
      <c r="S111" s="108"/>
      <c r="T111" s="92"/>
      <c r="U111" s="109"/>
      <c r="V111" s="109"/>
      <c r="W111" s="107"/>
      <c r="X111" s="92"/>
      <c r="Y111" s="109"/>
      <c r="Z111" s="107"/>
      <c r="AA111" s="81"/>
      <c r="AB111" s="81"/>
      <c r="AC111" s="81"/>
      <c r="AD111" s="81"/>
      <c r="AE111" s="81"/>
      <c r="AF111" s="81"/>
      <c r="AG111" s="81"/>
      <c r="AH111" s="81"/>
      <c r="AI111" s="81"/>
      <c r="AJ111" s="81"/>
      <c r="AK111" s="81"/>
      <c r="AL111" s="81"/>
      <c r="AM111" s="81"/>
      <c r="AN111" s="81"/>
      <c r="AO111" s="81"/>
    </row>
    <row r="112" spans="2:41">
      <c r="B112" s="9">
        <v>104</v>
      </c>
      <c r="C112" s="31" t="s">
        <v>114</v>
      </c>
      <c r="D112" s="61" t="s">
        <v>571</v>
      </c>
      <c r="E112" s="290" t="s">
        <v>1649</v>
      </c>
      <c r="F112" s="100">
        <v>11199.129919423856</v>
      </c>
      <c r="G112" s="63"/>
      <c r="H112" s="63"/>
      <c r="I112" s="63">
        <v>4.099044215689216</v>
      </c>
      <c r="J112" s="106">
        <v>6556.63790087912</v>
      </c>
      <c r="K112" s="106">
        <v>7936.1260786617704</v>
      </c>
      <c r="L112" s="100">
        <v>11199.129919423856</v>
      </c>
      <c r="M112" s="106">
        <v>68362.463637355628</v>
      </c>
      <c r="N112" s="100">
        <v>50662.30564119522</v>
      </c>
      <c r="O112" s="63">
        <f>MIN(K112,L112,M112,N112)</f>
        <v>7936.1260786617704</v>
      </c>
      <c r="P112" s="63">
        <f>MIN(M112,N112)</f>
        <v>50662.30564119522</v>
      </c>
      <c r="Q112" s="107"/>
      <c r="R112" s="92"/>
      <c r="S112" s="108"/>
      <c r="T112" s="92"/>
      <c r="U112" s="109"/>
      <c r="V112" s="109"/>
      <c r="W112" s="107"/>
      <c r="X112" s="92"/>
      <c r="Y112" s="109"/>
      <c r="Z112" s="107"/>
      <c r="AA112" s="81"/>
      <c r="AB112" s="81"/>
      <c r="AC112" s="81"/>
      <c r="AD112" s="81"/>
      <c r="AE112" s="81"/>
      <c r="AF112" s="81"/>
      <c r="AG112" s="81"/>
      <c r="AH112" s="81"/>
      <c r="AI112" s="81"/>
      <c r="AJ112" s="81"/>
      <c r="AK112" s="81"/>
      <c r="AL112" s="81"/>
      <c r="AM112" s="81"/>
      <c r="AN112" s="81"/>
      <c r="AO112" s="81"/>
    </row>
    <row r="113" spans="2:41">
      <c r="B113" s="9">
        <v>105</v>
      </c>
      <c r="C113" s="31" t="s">
        <v>371</v>
      </c>
      <c r="D113" s="61" t="s">
        <v>572</v>
      </c>
      <c r="E113" s="290" t="s">
        <v>372</v>
      </c>
      <c r="F113" s="100"/>
      <c r="G113" s="63"/>
      <c r="H113" s="63"/>
      <c r="I113" s="63"/>
      <c r="J113" s="106"/>
      <c r="K113" s="106"/>
      <c r="L113" s="100"/>
      <c r="M113" s="106"/>
      <c r="N113" s="100"/>
      <c r="O113" s="63"/>
      <c r="P113" s="63"/>
      <c r="Q113" s="107"/>
      <c r="R113" s="92"/>
      <c r="S113" s="108"/>
      <c r="T113" s="92"/>
      <c r="U113" s="109"/>
      <c r="V113" s="109"/>
      <c r="W113" s="107"/>
      <c r="X113" s="92"/>
      <c r="Y113" s="109"/>
      <c r="Z113" s="107"/>
      <c r="AA113" s="81"/>
      <c r="AB113" s="81"/>
      <c r="AC113" s="81"/>
      <c r="AD113" s="81"/>
      <c r="AE113" s="81"/>
      <c r="AF113" s="81"/>
      <c r="AG113" s="81"/>
      <c r="AH113" s="81"/>
      <c r="AI113" s="81"/>
      <c r="AJ113" s="81"/>
      <c r="AK113" s="81"/>
      <c r="AL113" s="81"/>
      <c r="AM113" s="81"/>
      <c r="AN113" s="81"/>
      <c r="AO113" s="81"/>
    </row>
    <row r="114" spans="2:41">
      <c r="B114" s="9">
        <v>106</v>
      </c>
      <c r="C114" s="31" t="s">
        <v>373</v>
      </c>
      <c r="D114" s="61" t="s">
        <v>571</v>
      </c>
      <c r="E114" s="290" t="s">
        <v>1635</v>
      </c>
      <c r="F114" s="100"/>
      <c r="G114" s="63"/>
      <c r="H114" s="63"/>
      <c r="I114" s="63"/>
      <c r="J114" s="106"/>
      <c r="K114" s="106"/>
      <c r="L114" s="100"/>
      <c r="M114" s="106"/>
      <c r="N114" s="100"/>
      <c r="O114" s="63"/>
      <c r="P114" s="63"/>
      <c r="Q114" s="107"/>
      <c r="R114" s="92"/>
      <c r="S114" s="108"/>
      <c r="T114" s="92"/>
      <c r="U114" s="109"/>
      <c r="V114" s="109"/>
      <c r="W114" s="107"/>
      <c r="X114" s="92"/>
      <c r="Y114" s="109"/>
      <c r="Z114" s="107"/>
      <c r="AA114" s="81"/>
      <c r="AB114" s="81"/>
      <c r="AC114" s="81"/>
      <c r="AD114" s="81"/>
      <c r="AE114" s="81"/>
      <c r="AF114" s="81"/>
      <c r="AG114" s="81"/>
      <c r="AH114" s="81"/>
      <c r="AI114" s="81"/>
      <c r="AJ114" s="81"/>
      <c r="AK114" s="81"/>
      <c r="AL114" s="81"/>
      <c r="AM114" s="81"/>
      <c r="AN114" s="81"/>
      <c r="AO114" s="81"/>
    </row>
    <row r="115" spans="2:41">
      <c r="B115" s="9">
        <v>107</v>
      </c>
      <c r="C115" s="31" t="s">
        <v>76</v>
      </c>
      <c r="D115" s="61" t="s">
        <v>571</v>
      </c>
      <c r="E115" s="290" t="s">
        <v>1659</v>
      </c>
      <c r="F115" s="100">
        <v>1234.9045456104641</v>
      </c>
      <c r="G115" s="63"/>
      <c r="H115" s="63"/>
      <c r="I115" s="63">
        <v>3.284736997093133</v>
      </c>
      <c r="J115" s="106">
        <v>4.4451302526832537</v>
      </c>
      <c r="K115" s="106">
        <v>127.78508199227082</v>
      </c>
      <c r="L115" s="100">
        <v>1234.9045456104641</v>
      </c>
      <c r="M115" s="106">
        <v>18.701619962558585</v>
      </c>
      <c r="N115" s="100">
        <v>63.459628180350457</v>
      </c>
      <c r="O115" s="63">
        <f>MIN(K115,L115,M115,N115)</f>
        <v>18.701619962558585</v>
      </c>
      <c r="P115" s="63">
        <f>MIN(M115,N115)</f>
        <v>18.701619962558585</v>
      </c>
      <c r="Q115" s="107"/>
      <c r="R115" s="92"/>
      <c r="S115" s="108"/>
      <c r="T115" s="92"/>
      <c r="U115" s="109"/>
      <c r="V115" s="109"/>
      <c r="W115" s="107"/>
      <c r="X115" s="92"/>
      <c r="Y115" s="109"/>
      <c r="Z115" s="107"/>
      <c r="AA115" s="81"/>
      <c r="AB115" s="81"/>
      <c r="AC115" s="81"/>
      <c r="AD115" s="81"/>
      <c r="AE115" s="81"/>
      <c r="AF115" s="81"/>
      <c r="AG115" s="81"/>
      <c r="AH115" s="81"/>
      <c r="AI115" s="81"/>
      <c r="AJ115" s="81"/>
      <c r="AK115" s="81"/>
      <c r="AL115" s="81"/>
      <c r="AM115" s="81"/>
      <c r="AN115" s="81"/>
      <c r="AO115" s="81"/>
    </row>
    <row r="116" spans="2:41" s="104" customFormat="1">
      <c r="B116" s="9">
        <v>108</v>
      </c>
      <c r="C116" s="31" t="s">
        <v>50</v>
      </c>
      <c r="D116" s="61" t="s">
        <v>573</v>
      </c>
      <c r="E116" s="290" t="s">
        <v>49</v>
      </c>
      <c r="F116" s="63">
        <v>0.29913199367254212</v>
      </c>
      <c r="G116" s="111"/>
      <c r="H116" s="111"/>
      <c r="I116" s="111">
        <v>9.4247295437255939E-5</v>
      </c>
      <c r="J116" s="63">
        <v>0.12897719358802712</v>
      </c>
      <c r="K116" s="63">
        <v>0.29913199367254212</v>
      </c>
      <c r="L116" s="63">
        <v>0.29913199367254212</v>
      </c>
      <c r="M116" s="63">
        <v>0.54287481118127823</v>
      </c>
      <c r="N116" s="63">
        <v>0.55329828515025603</v>
      </c>
      <c r="O116" s="63">
        <f>MIN(K116,L116,M116,N116)</f>
        <v>0.29913199367254212</v>
      </c>
      <c r="P116" s="63">
        <f>MIN(M116,N116)</f>
        <v>0.54287481118127823</v>
      </c>
      <c r="Q116" s="107"/>
      <c r="R116" s="92"/>
      <c r="S116" s="108"/>
      <c r="T116" s="112"/>
      <c r="U116" s="109"/>
      <c r="V116" s="109"/>
      <c r="W116" s="109"/>
      <c r="X116" s="92"/>
      <c r="Y116" s="109"/>
      <c r="Z116" s="109"/>
      <c r="AA116" s="103"/>
      <c r="AB116" s="103"/>
      <c r="AC116" s="103"/>
      <c r="AD116" s="103"/>
      <c r="AE116" s="103"/>
      <c r="AF116" s="103"/>
      <c r="AG116" s="103"/>
      <c r="AH116" s="103"/>
      <c r="AI116" s="103"/>
      <c r="AJ116" s="103"/>
      <c r="AK116" s="103"/>
      <c r="AL116" s="103"/>
      <c r="AM116" s="103"/>
      <c r="AN116" s="103"/>
      <c r="AO116" s="103"/>
    </row>
    <row r="117" spans="2:41">
      <c r="B117" s="9">
        <v>109</v>
      </c>
      <c r="C117" s="31" t="s">
        <v>374</v>
      </c>
      <c r="D117" s="61" t="s">
        <v>571</v>
      </c>
      <c r="E117" s="290" t="s">
        <v>1523</v>
      </c>
      <c r="F117" s="63"/>
      <c r="G117" s="111"/>
      <c r="H117" s="111"/>
      <c r="I117" s="111"/>
      <c r="J117" s="63"/>
      <c r="K117" s="63"/>
      <c r="L117" s="63"/>
      <c r="M117" s="63"/>
      <c r="N117" s="63"/>
      <c r="O117" s="63"/>
      <c r="P117" s="63"/>
      <c r="Q117" s="107"/>
      <c r="R117" s="92"/>
      <c r="S117" s="108"/>
      <c r="T117" s="112"/>
      <c r="U117" s="109"/>
      <c r="V117" s="109"/>
      <c r="W117" s="109"/>
      <c r="X117" s="92"/>
      <c r="Y117" s="109"/>
      <c r="Z117" s="109"/>
      <c r="AA117" s="81"/>
      <c r="AB117" s="81"/>
      <c r="AC117" s="81"/>
      <c r="AD117" s="81"/>
      <c r="AE117" s="81"/>
      <c r="AF117" s="81"/>
      <c r="AG117" s="81"/>
      <c r="AH117" s="81"/>
      <c r="AI117" s="81"/>
      <c r="AJ117" s="81"/>
      <c r="AK117" s="81"/>
      <c r="AL117" s="81"/>
      <c r="AM117" s="81"/>
      <c r="AN117" s="81"/>
      <c r="AO117" s="81"/>
    </row>
    <row r="118" spans="2:41">
      <c r="B118" s="9">
        <v>110</v>
      </c>
      <c r="C118" s="31" t="s">
        <v>52</v>
      </c>
      <c r="D118" s="61" t="s">
        <v>572</v>
      </c>
      <c r="E118" s="290" t="s">
        <v>51</v>
      </c>
      <c r="F118" s="230">
        <v>0.97691496224612762</v>
      </c>
      <c r="G118" s="476"/>
      <c r="H118" s="476"/>
      <c r="I118" s="476">
        <v>6.1741384417245387E-4</v>
      </c>
      <c r="J118" s="229">
        <v>1.1545774974210096E-2</v>
      </c>
      <c r="K118" s="230">
        <v>0.27079575808273176</v>
      </c>
      <c r="L118" s="230">
        <v>0.97691496224612762</v>
      </c>
      <c r="M118" s="230">
        <v>7.4630898906594925E-2</v>
      </c>
      <c r="N118" s="230">
        <v>0.2308488910070722</v>
      </c>
      <c r="O118" s="234">
        <f>MIN(K118,L118,M118,N118)</f>
        <v>7.4630898906594925E-2</v>
      </c>
      <c r="P118" s="234">
        <f>MIN(M118,N118)</f>
        <v>7.4630898906594925E-2</v>
      </c>
      <c r="Q118" s="92"/>
      <c r="R118" s="113"/>
      <c r="S118" s="108"/>
      <c r="T118" s="112"/>
      <c r="U118" s="102"/>
      <c r="V118" s="92"/>
      <c r="W118" s="109"/>
      <c r="X118" s="102"/>
      <c r="Y118" s="102"/>
      <c r="Z118" s="102"/>
      <c r="AA118" s="81"/>
      <c r="AB118" s="81"/>
      <c r="AC118" s="81"/>
      <c r="AD118" s="81"/>
      <c r="AE118" s="81"/>
      <c r="AF118" s="81"/>
      <c r="AG118" s="81"/>
      <c r="AH118" s="81"/>
      <c r="AI118" s="81"/>
      <c r="AJ118" s="81"/>
      <c r="AK118" s="81"/>
      <c r="AL118" s="81"/>
      <c r="AM118" s="81"/>
      <c r="AN118" s="81"/>
      <c r="AO118" s="81"/>
    </row>
    <row r="119" spans="2:41">
      <c r="B119" s="9">
        <v>111</v>
      </c>
      <c r="C119" s="31" t="s">
        <v>68</v>
      </c>
      <c r="D119" s="61">
        <v>3</v>
      </c>
      <c r="E119" s="290" t="s">
        <v>1614</v>
      </c>
      <c r="F119" s="63">
        <v>32.364235316321661</v>
      </c>
      <c r="G119" s="63"/>
      <c r="H119" s="111"/>
      <c r="I119" s="101">
        <v>0.11001466814254791</v>
      </c>
      <c r="J119" s="101">
        <v>0.11001466814254791</v>
      </c>
      <c r="K119" s="63">
        <v>3.1801054150926493</v>
      </c>
      <c r="L119" s="63">
        <v>32.364235316321661</v>
      </c>
      <c r="M119" s="101">
        <v>0.46278462903566614</v>
      </c>
      <c r="N119" s="101">
        <v>1.5712349035149533</v>
      </c>
      <c r="O119" s="63">
        <f>MIN(K119,L119,M119,N119)</f>
        <v>0.46278462903566614</v>
      </c>
      <c r="P119" s="63">
        <f>MIN(M119,N119)</f>
        <v>0.46278462903566614</v>
      </c>
      <c r="Q119" s="107"/>
      <c r="R119" s="92"/>
      <c r="S119" s="108"/>
      <c r="T119" s="112"/>
      <c r="U119" s="102"/>
      <c r="V119" s="92"/>
      <c r="W119" s="109"/>
      <c r="X119" s="92"/>
      <c r="Y119" s="109"/>
      <c r="Z119" s="92"/>
      <c r="AA119" s="81"/>
      <c r="AB119" s="81"/>
      <c r="AC119" s="81"/>
      <c r="AD119" s="81"/>
      <c r="AE119" s="81"/>
      <c r="AF119" s="81"/>
      <c r="AG119" s="81"/>
      <c r="AH119" s="81"/>
      <c r="AI119" s="81"/>
      <c r="AJ119" s="81"/>
      <c r="AK119" s="81"/>
      <c r="AL119" s="81"/>
      <c r="AM119" s="81"/>
      <c r="AN119" s="81"/>
      <c r="AO119" s="81"/>
    </row>
    <row r="120" spans="2:41">
      <c r="B120" s="9">
        <v>112</v>
      </c>
      <c r="C120" s="31" t="s">
        <v>375</v>
      </c>
      <c r="D120" s="61" t="s">
        <v>571</v>
      </c>
      <c r="E120" s="290" t="s">
        <v>1594</v>
      </c>
      <c r="F120" s="101"/>
      <c r="G120" s="111"/>
      <c r="H120" s="111"/>
      <c r="I120" s="111"/>
      <c r="J120" s="98"/>
      <c r="K120" s="101"/>
      <c r="L120" s="101"/>
      <c r="M120" s="101"/>
      <c r="N120" s="101"/>
      <c r="O120" s="63"/>
      <c r="P120" s="63"/>
      <c r="Q120" s="107"/>
      <c r="R120" s="92"/>
      <c r="S120" s="108"/>
      <c r="T120" s="112"/>
      <c r="U120" s="102"/>
      <c r="V120" s="92"/>
      <c r="W120" s="109"/>
      <c r="X120" s="92"/>
      <c r="Y120" s="109"/>
      <c r="Z120" s="92"/>
      <c r="AA120" s="81"/>
      <c r="AB120" s="81"/>
      <c r="AC120" s="81"/>
      <c r="AD120" s="81"/>
      <c r="AE120" s="81"/>
      <c r="AF120" s="81"/>
      <c r="AG120" s="81"/>
      <c r="AH120" s="81"/>
      <c r="AI120" s="81"/>
      <c r="AJ120" s="81"/>
      <c r="AK120" s="81"/>
      <c r="AL120" s="81"/>
      <c r="AM120" s="81"/>
      <c r="AN120" s="81"/>
      <c r="AO120" s="81"/>
    </row>
    <row r="121" spans="2:41">
      <c r="B121" s="9">
        <v>113</v>
      </c>
      <c r="C121" s="31" t="s">
        <v>81</v>
      </c>
      <c r="D121" s="61" t="s">
        <v>572</v>
      </c>
      <c r="E121" s="290" t="s">
        <v>1728</v>
      </c>
      <c r="F121" s="106">
        <v>30.415118344313026</v>
      </c>
      <c r="G121" s="101"/>
      <c r="H121" s="101"/>
      <c r="I121" s="101">
        <v>9.4160707002133703E-3</v>
      </c>
      <c r="J121" s="63">
        <v>0.54451151371741313</v>
      </c>
      <c r="K121" s="106">
        <v>11.235167663250131</v>
      </c>
      <c r="L121" s="106">
        <v>30.415118344313026</v>
      </c>
      <c r="M121" s="106">
        <v>3.4965395959746335</v>
      </c>
      <c r="N121" s="106">
        <v>10.267656440669644</v>
      </c>
      <c r="O121" s="63">
        <f>MIN(K121,L121,M121,N121)</f>
        <v>3.4965395959746335</v>
      </c>
      <c r="P121" s="63">
        <f>MIN(M121,N121)</f>
        <v>3.4965395959746335</v>
      </c>
      <c r="Q121" s="107"/>
      <c r="R121" s="92"/>
      <c r="S121" s="108"/>
      <c r="T121" s="112"/>
      <c r="U121" s="102"/>
      <c r="V121" s="92"/>
      <c r="W121" s="109"/>
      <c r="X121" s="92"/>
      <c r="Y121" s="109"/>
      <c r="Z121" s="92"/>
      <c r="AA121" s="81"/>
      <c r="AB121" s="81"/>
      <c r="AC121" s="81"/>
      <c r="AD121" s="81"/>
      <c r="AE121" s="81"/>
      <c r="AF121" s="81"/>
      <c r="AG121" s="81"/>
      <c r="AH121" s="81"/>
      <c r="AI121" s="81"/>
      <c r="AJ121" s="81"/>
      <c r="AK121" s="81"/>
      <c r="AL121" s="81"/>
      <c r="AM121" s="81"/>
      <c r="AN121" s="81"/>
      <c r="AO121" s="81"/>
    </row>
    <row r="122" spans="2:41">
      <c r="B122" s="9">
        <v>114</v>
      </c>
      <c r="C122" s="31" t="s">
        <v>77</v>
      </c>
      <c r="D122" s="61">
        <v>3</v>
      </c>
      <c r="E122" s="290" t="s">
        <v>1681</v>
      </c>
      <c r="F122" s="106">
        <v>46.706049207358312</v>
      </c>
      <c r="G122" s="63"/>
      <c r="H122" s="63"/>
      <c r="I122" s="63">
        <v>0.12619580415673354</v>
      </c>
      <c r="J122" s="63">
        <v>0.53528304756787304</v>
      </c>
      <c r="K122" s="106">
        <v>14.228984187628244</v>
      </c>
      <c r="L122" s="106">
        <v>46.706049207358312</v>
      </c>
      <c r="M122" s="106">
        <v>3.4780605286393866</v>
      </c>
      <c r="N122" s="106">
        <v>11.314759666961146</v>
      </c>
      <c r="O122" s="63">
        <f>MIN(K122,L122,M122,N122)</f>
        <v>3.4780605286393866</v>
      </c>
      <c r="P122" s="63">
        <f>MIN(M122,N122)</f>
        <v>3.4780605286393866</v>
      </c>
      <c r="Q122" s="107"/>
      <c r="R122" s="92"/>
      <c r="S122" s="108"/>
      <c r="T122" s="112"/>
      <c r="U122" s="102"/>
      <c r="V122" s="92"/>
      <c r="W122" s="109"/>
      <c r="X122" s="92"/>
      <c r="Y122" s="109"/>
      <c r="Z122" s="92"/>
      <c r="AA122" s="81"/>
      <c r="AB122" s="81"/>
      <c r="AC122" s="81"/>
      <c r="AD122" s="81"/>
      <c r="AE122" s="81"/>
      <c r="AF122" s="81"/>
      <c r="AG122" s="81"/>
      <c r="AH122" s="81"/>
      <c r="AI122" s="81"/>
      <c r="AJ122" s="81"/>
      <c r="AK122" s="81"/>
      <c r="AL122" s="81"/>
      <c r="AM122" s="81"/>
      <c r="AN122" s="81"/>
      <c r="AO122" s="81"/>
    </row>
    <row r="123" spans="2:41">
      <c r="B123" s="9">
        <v>115</v>
      </c>
      <c r="C123" s="31" t="s">
        <v>376</v>
      </c>
      <c r="D123" s="61" t="s">
        <v>571</v>
      </c>
      <c r="E123" s="290" t="s">
        <v>1494</v>
      </c>
      <c r="F123" s="100"/>
      <c r="G123" s="63"/>
      <c r="H123" s="63"/>
      <c r="I123" s="63"/>
      <c r="J123" s="106"/>
      <c r="K123" s="106"/>
      <c r="L123" s="100"/>
      <c r="M123" s="106"/>
      <c r="N123" s="100"/>
      <c r="O123" s="63"/>
      <c r="P123" s="63"/>
      <c r="Q123" s="107"/>
      <c r="R123" s="92"/>
      <c r="S123" s="108"/>
      <c r="T123" s="92"/>
      <c r="U123" s="109"/>
      <c r="V123" s="109"/>
      <c r="W123" s="107"/>
      <c r="X123" s="92"/>
      <c r="Y123" s="109"/>
      <c r="Z123" s="107"/>
      <c r="AA123" s="81"/>
      <c r="AB123" s="81"/>
      <c r="AC123" s="81"/>
      <c r="AD123" s="81"/>
      <c r="AE123" s="81"/>
      <c r="AF123" s="81"/>
      <c r="AG123" s="81"/>
      <c r="AH123" s="81"/>
      <c r="AI123" s="81"/>
      <c r="AJ123" s="81"/>
      <c r="AK123" s="81"/>
      <c r="AL123" s="81"/>
      <c r="AM123" s="81"/>
      <c r="AN123" s="81"/>
      <c r="AO123" s="81"/>
    </row>
    <row r="124" spans="2:41">
      <c r="B124" s="9">
        <v>116</v>
      </c>
      <c r="C124" s="31" t="s">
        <v>84</v>
      </c>
      <c r="D124" s="61" t="s">
        <v>571</v>
      </c>
      <c r="E124" s="290" t="s">
        <v>1776</v>
      </c>
      <c r="F124" s="100">
        <v>2722.1038645239983</v>
      </c>
      <c r="G124" s="63"/>
      <c r="H124" s="63"/>
      <c r="I124" s="63">
        <v>1.6817111783139185</v>
      </c>
      <c r="J124" s="106">
        <v>1953.8624410177099</v>
      </c>
      <c r="K124" s="106">
        <v>2722.1038645239983</v>
      </c>
      <c r="L124" s="100">
        <v>2722.1038645239983</v>
      </c>
      <c r="M124" s="106">
        <v>6794.1308302622338</v>
      </c>
      <c r="N124" s="100">
        <v>5035.0194298867609</v>
      </c>
      <c r="O124" s="63">
        <f>MIN(K124,L124,M124,N124)</f>
        <v>2722.1038645239983</v>
      </c>
      <c r="P124" s="63">
        <f>MIN(M124,N124)</f>
        <v>5035.0194298867609</v>
      </c>
      <c r="Q124" s="107"/>
      <c r="R124" s="92"/>
      <c r="S124" s="108"/>
      <c r="T124" s="92"/>
      <c r="U124" s="109"/>
      <c r="V124" s="109"/>
      <c r="W124" s="107"/>
      <c r="X124" s="92"/>
      <c r="Y124" s="109"/>
      <c r="Z124" s="107"/>
      <c r="AA124" s="81"/>
      <c r="AB124" s="81"/>
      <c r="AC124" s="81"/>
      <c r="AD124" s="81"/>
      <c r="AE124" s="81"/>
      <c r="AF124" s="81"/>
      <c r="AG124" s="81"/>
      <c r="AH124" s="81"/>
      <c r="AI124" s="81"/>
      <c r="AJ124" s="81"/>
      <c r="AK124" s="81"/>
      <c r="AL124" s="81"/>
      <c r="AM124" s="81"/>
      <c r="AN124" s="81"/>
      <c r="AO124" s="81"/>
    </row>
    <row r="125" spans="2:41">
      <c r="B125" s="9">
        <v>117</v>
      </c>
      <c r="C125" s="31" t="s">
        <v>377</v>
      </c>
      <c r="D125" s="61" t="s">
        <v>571</v>
      </c>
      <c r="E125" s="290" t="s">
        <v>1550</v>
      </c>
      <c r="F125" s="100"/>
      <c r="G125" s="63"/>
      <c r="H125" s="63"/>
      <c r="I125" s="63"/>
      <c r="J125" s="106"/>
      <c r="K125" s="106"/>
      <c r="L125" s="100"/>
      <c r="M125" s="106"/>
      <c r="N125" s="100"/>
      <c r="O125" s="63"/>
      <c r="P125" s="63"/>
      <c r="Q125" s="107"/>
      <c r="R125" s="92"/>
      <c r="S125" s="108"/>
      <c r="T125" s="92"/>
      <c r="U125" s="109"/>
      <c r="V125" s="109"/>
      <c r="W125" s="107"/>
      <c r="X125" s="92"/>
      <c r="Y125" s="109"/>
      <c r="Z125" s="107"/>
      <c r="AA125" s="81"/>
      <c r="AB125" s="81"/>
      <c r="AC125" s="81"/>
      <c r="AD125" s="81"/>
      <c r="AE125" s="81"/>
      <c r="AF125" s="81"/>
      <c r="AG125" s="81"/>
      <c r="AH125" s="81"/>
      <c r="AI125" s="81"/>
      <c r="AJ125" s="81"/>
      <c r="AK125" s="81"/>
      <c r="AL125" s="81"/>
      <c r="AM125" s="81"/>
      <c r="AN125" s="81"/>
      <c r="AO125" s="81"/>
    </row>
    <row r="126" spans="2:41">
      <c r="B126" s="9">
        <v>118</v>
      </c>
      <c r="C126" s="31" t="s">
        <v>378</v>
      </c>
      <c r="D126" s="61" t="s">
        <v>572</v>
      </c>
      <c r="E126" s="290" t="s">
        <v>1578</v>
      </c>
      <c r="F126" s="100"/>
      <c r="G126" s="63"/>
      <c r="H126" s="63"/>
      <c r="I126" s="63"/>
      <c r="J126" s="106"/>
      <c r="K126" s="106"/>
      <c r="L126" s="100"/>
      <c r="M126" s="106"/>
      <c r="N126" s="100"/>
      <c r="O126" s="63"/>
      <c r="P126" s="63"/>
      <c r="Q126" s="107"/>
      <c r="R126" s="92"/>
      <c r="S126" s="108"/>
      <c r="T126" s="92"/>
      <c r="U126" s="109"/>
      <c r="V126" s="109"/>
      <c r="W126" s="107"/>
      <c r="X126" s="92"/>
      <c r="Y126" s="109"/>
      <c r="Z126" s="107"/>
      <c r="AA126" s="81"/>
      <c r="AB126" s="81"/>
      <c r="AC126" s="81"/>
      <c r="AD126" s="81"/>
      <c r="AE126" s="81"/>
      <c r="AF126" s="81"/>
      <c r="AG126" s="81"/>
      <c r="AH126" s="81"/>
      <c r="AI126" s="81"/>
      <c r="AJ126" s="81"/>
      <c r="AK126" s="81"/>
      <c r="AL126" s="81"/>
      <c r="AM126" s="81"/>
      <c r="AN126" s="81"/>
      <c r="AO126" s="81"/>
    </row>
    <row r="127" spans="2:41">
      <c r="B127" s="9">
        <v>119</v>
      </c>
      <c r="C127" s="31" t="s">
        <v>379</v>
      </c>
      <c r="D127" s="61" t="s">
        <v>571</v>
      </c>
      <c r="E127" s="290" t="s">
        <v>1539</v>
      </c>
      <c r="F127" s="100"/>
      <c r="G127" s="63"/>
      <c r="H127" s="63"/>
      <c r="I127" s="63"/>
      <c r="J127" s="106"/>
      <c r="K127" s="106"/>
      <c r="L127" s="100"/>
      <c r="M127" s="106"/>
      <c r="N127" s="100"/>
      <c r="O127" s="63"/>
      <c r="P127" s="63"/>
      <c r="Q127" s="107"/>
      <c r="R127" s="92"/>
      <c r="S127" s="108"/>
      <c r="T127" s="92"/>
      <c r="U127" s="109"/>
      <c r="V127" s="109"/>
      <c r="W127" s="107"/>
      <c r="X127" s="92"/>
      <c r="Y127" s="109"/>
      <c r="Z127" s="107"/>
      <c r="AA127" s="81"/>
      <c r="AB127" s="81"/>
      <c r="AC127" s="81"/>
      <c r="AD127" s="81"/>
      <c r="AE127" s="81"/>
      <c r="AF127" s="81"/>
      <c r="AG127" s="81"/>
      <c r="AH127" s="81"/>
      <c r="AI127" s="81"/>
      <c r="AJ127" s="81"/>
      <c r="AK127" s="81"/>
      <c r="AL127" s="81"/>
      <c r="AM127" s="81"/>
      <c r="AN127" s="81"/>
      <c r="AO127" s="81"/>
    </row>
    <row r="128" spans="2:41">
      <c r="B128" s="9">
        <v>120</v>
      </c>
      <c r="C128" s="31" t="s">
        <v>380</v>
      </c>
      <c r="D128" s="61" t="s">
        <v>571</v>
      </c>
      <c r="E128" s="290" t="s">
        <v>1538</v>
      </c>
      <c r="F128" s="100"/>
      <c r="G128" s="63"/>
      <c r="H128" s="63"/>
      <c r="I128" s="63"/>
      <c r="J128" s="106"/>
      <c r="K128" s="106"/>
      <c r="L128" s="100"/>
      <c r="M128" s="106"/>
      <c r="N128" s="100"/>
      <c r="O128" s="63"/>
      <c r="P128" s="63"/>
      <c r="Q128" s="107"/>
      <c r="R128" s="92"/>
      <c r="S128" s="108"/>
      <c r="T128" s="92"/>
      <c r="U128" s="109"/>
      <c r="V128" s="109"/>
      <c r="W128" s="107"/>
      <c r="X128" s="92"/>
      <c r="Y128" s="109"/>
      <c r="Z128" s="107"/>
      <c r="AA128" s="81"/>
      <c r="AB128" s="81"/>
      <c r="AC128" s="81"/>
      <c r="AD128" s="81"/>
      <c r="AE128" s="81"/>
      <c r="AF128" s="81"/>
      <c r="AG128" s="81"/>
      <c r="AH128" s="81"/>
      <c r="AI128" s="81"/>
      <c r="AJ128" s="81"/>
      <c r="AK128" s="81"/>
      <c r="AL128" s="81"/>
      <c r="AM128" s="81"/>
      <c r="AN128" s="81"/>
      <c r="AO128" s="81"/>
    </row>
    <row r="129" spans="2:41">
      <c r="B129" s="9">
        <v>121</v>
      </c>
      <c r="C129" s="31" t="s">
        <v>381</v>
      </c>
      <c r="D129" s="61" t="s">
        <v>571</v>
      </c>
      <c r="E129" s="290" t="s">
        <v>1551</v>
      </c>
      <c r="F129" s="100"/>
      <c r="G129" s="63"/>
      <c r="H129" s="63"/>
      <c r="I129" s="63"/>
      <c r="J129" s="106"/>
      <c r="K129" s="106"/>
      <c r="L129" s="100"/>
      <c r="M129" s="106"/>
      <c r="N129" s="100"/>
      <c r="O129" s="63"/>
      <c r="P129" s="63"/>
      <c r="Q129" s="107"/>
      <c r="R129" s="92"/>
      <c r="S129" s="108"/>
      <c r="T129" s="92"/>
      <c r="U129" s="109"/>
      <c r="V129" s="109"/>
      <c r="W129" s="107"/>
      <c r="X129" s="92"/>
      <c r="Y129" s="109"/>
      <c r="Z129" s="107"/>
      <c r="AA129" s="81"/>
      <c r="AB129" s="81"/>
      <c r="AC129" s="81"/>
      <c r="AD129" s="81"/>
      <c r="AE129" s="81"/>
      <c r="AF129" s="81"/>
      <c r="AG129" s="81"/>
      <c r="AH129" s="81"/>
      <c r="AI129" s="81"/>
      <c r="AJ129" s="81"/>
      <c r="AK129" s="81"/>
      <c r="AL129" s="81"/>
      <c r="AM129" s="81"/>
      <c r="AN129" s="81"/>
      <c r="AO129" s="81"/>
    </row>
    <row r="130" spans="2:41">
      <c r="B130" s="9">
        <v>122</v>
      </c>
      <c r="C130" s="31" t="s">
        <v>136</v>
      </c>
      <c r="D130" s="61">
        <v>1</v>
      </c>
      <c r="E130" s="290" t="s">
        <v>1536</v>
      </c>
      <c r="F130" s="114">
        <v>6.8830366886898442E-5</v>
      </c>
      <c r="G130" s="114"/>
      <c r="H130" s="114"/>
      <c r="I130" s="114">
        <v>2.9922693133758217E-7</v>
      </c>
      <c r="J130" s="114">
        <v>4.8141848065927378E-5</v>
      </c>
      <c r="K130" s="114">
        <v>6.8378513563281435E-5</v>
      </c>
      <c r="L130" s="114">
        <v>6.8830366886898442E-5</v>
      </c>
      <c r="M130" s="114">
        <v>1.6850306118915896E-4</v>
      </c>
      <c r="N130" s="114">
        <v>1.2610040358315938E-4</v>
      </c>
      <c r="O130" s="115">
        <f>MIN(K130,L130,M130,N130)</f>
        <v>6.8378513563281435E-5</v>
      </c>
      <c r="P130" s="115">
        <f>MIN(M130,N130)</f>
        <v>1.2610040358315938E-4</v>
      </c>
      <c r="Q130" s="87"/>
      <c r="R130" s="87"/>
      <c r="S130" s="87"/>
      <c r="T130" s="87"/>
      <c r="U130" s="87"/>
      <c r="V130" s="87"/>
      <c r="W130" s="87"/>
      <c r="X130" s="88"/>
      <c r="Y130" s="87"/>
      <c r="Z130" s="87"/>
      <c r="AA130" s="81"/>
      <c r="AB130" s="81"/>
      <c r="AC130" s="81"/>
      <c r="AD130" s="81"/>
      <c r="AE130" s="81"/>
      <c r="AF130" s="81"/>
      <c r="AG130" s="81"/>
      <c r="AH130" s="81"/>
      <c r="AI130" s="81"/>
      <c r="AJ130" s="81"/>
      <c r="AK130" s="81"/>
      <c r="AL130" s="81"/>
      <c r="AM130" s="81"/>
      <c r="AN130" s="81"/>
      <c r="AO130" s="81"/>
    </row>
    <row r="131" spans="2:41">
      <c r="B131" s="9">
        <v>123</v>
      </c>
      <c r="C131" s="31" t="s">
        <v>382</v>
      </c>
      <c r="D131" s="61">
        <v>3</v>
      </c>
      <c r="E131" s="290" t="s">
        <v>383</v>
      </c>
      <c r="F131" s="116"/>
      <c r="G131" s="116"/>
      <c r="H131" s="116"/>
      <c r="I131" s="116"/>
      <c r="J131" s="116"/>
      <c r="K131" s="116"/>
      <c r="L131" s="116"/>
      <c r="M131" s="116"/>
      <c r="N131" s="116"/>
      <c r="O131" s="63"/>
      <c r="P131" s="63"/>
      <c r="Q131" s="87"/>
      <c r="R131" s="87"/>
      <c r="S131" s="87"/>
      <c r="T131" s="87"/>
      <c r="U131" s="87"/>
      <c r="V131" s="87"/>
      <c r="W131" s="87"/>
      <c r="X131" s="88"/>
      <c r="Y131" s="87"/>
      <c r="Z131" s="87"/>
      <c r="AA131" s="81"/>
      <c r="AB131" s="81"/>
      <c r="AC131" s="81"/>
      <c r="AD131" s="81"/>
      <c r="AE131" s="81"/>
      <c r="AF131" s="81"/>
      <c r="AG131" s="81"/>
      <c r="AH131" s="81"/>
      <c r="AI131" s="81"/>
      <c r="AJ131" s="81"/>
      <c r="AK131" s="81"/>
      <c r="AL131" s="81"/>
      <c r="AM131" s="81"/>
      <c r="AN131" s="81"/>
      <c r="AO131" s="81"/>
    </row>
    <row r="132" spans="2:41">
      <c r="B132" s="9">
        <v>124</v>
      </c>
      <c r="C132" s="31" t="s">
        <v>384</v>
      </c>
      <c r="D132" s="61" t="s">
        <v>571</v>
      </c>
      <c r="E132" s="290" t="s">
        <v>1661</v>
      </c>
      <c r="F132" s="116"/>
      <c r="G132" s="116"/>
      <c r="H132" s="116"/>
      <c r="I132" s="116"/>
      <c r="J132" s="116"/>
      <c r="K132" s="116"/>
      <c r="L132" s="116"/>
      <c r="M132" s="116"/>
      <c r="N132" s="116"/>
      <c r="O132" s="63"/>
      <c r="P132" s="63"/>
      <c r="Q132" s="87"/>
      <c r="R132" s="87"/>
      <c r="S132" s="87"/>
      <c r="T132" s="87"/>
      <c r="U132" s="87"/>
      <c r="V132" s="87"/>
      <c r="W132" s="87"/>
      <c r="X132" s="88"/>
      <c r="Y132" s="87"/>
      <c r="Z132" s="87"/>
      <c r="AA132" s="81"/>
      <c r="AB132" s="81"/>
      <c r="AC132" s="81"/>
      <c r="AD132" s="81"/>
      <c r="AE132" s="81"/>
      <c r="AF132" s="81"/>
      <c r="AG132" s="81"/>
      <c r="AH132" s="81"/>
      <c r="AI132" s="81"/>
      <c r="AJ132" s="81"/>
      <c r="AK132" s="81"/>
      <c r="AL132" s="81"/>
      <c r="AM132" s="81"/>
      <c r="AN132" s="81"/>
      <c r="AO132" s="81"/>
    </row>
    <row r="133" spans="2:41">
      <c r="B133" s="9">
        <v>125</v>
      </c>
      <c r="C133" s="95" t="s">
        <v>385</v>
      </c>
      <c r="D133" s="61" t="s">
        <v>571</v>
      </c>
      <c r="E133" s="290" t="s">
        <v>1503</v>
      </c>
      <c r="F133" s="100"/>
      <c r="G133" s="63"/>
      <c r="H133" s="63"/>
      <c r="I133" s="63"/>
      <c r="J133" s="100"/>
      <c r="K133" s="100"/>
      <c r="L133" s="100"/>
      <c r="M133" s="100"/>
      <c r="N133" s="100"/>
      <c r="O133" s="63"/>
      <c r="P133" s="63"/>
      <c r="Q133" s="107"/>
      <c r="R133" s="92"/>
      <c r="S133" s="108"/>
      <c r="T133" s="92"/>
      <c r="U133" s="107"/>
      <c r="V133" s="107"/>
      <c r="W133" s="107"/>
      <c r="X133" s="92"/>
      <c r="Y133" s="107"/>
      <c r="Z133" s="107"/>
      <c r="AA133" s="81"/>
      <c r="AB133" s="81"/>
      <c r="AC133" s="81"/>
      <c r="AD133" s="81"/>
      <c r="AE133" s="81"/>
      <c r="AF133" s="81"/>
      <c r="AG133" s="81"/>
      <c r="AH133" s="81"/>
      <c r="AI133" s="81"/>
      <c r="AJ133" s="81"/>
      <c r="AK133" s="81"/>
      <c r="AL133" s="81"/>
      <c r="AM133" s="81"/>
      <c r="AN133" s="81"/>
      <c r="AO133" s="81"/>
    </row>
    <row r="134" spans="2:41">
      <c r="B134" s="9">
        <v>126</v>
      </c>
      <c r="C134" s="95" t="s">
        <v>386</v>
      </c>
      <c r="D134" s="61" t="s">
        <v>571</v>
      </c>
      <c r="E134" s="290" t="s">
        <v>1557</v>
      </c>
      <c r="F134" s="100"/>
      <c r="G134" s="63"/>
      <c r="H134" s="63"/>
      <c r="I134" s="63"/>
      <c r="J134" s="100"/>
      <c r="K134" s="100"/>
      <c r="L134" s="100"/>
      <c r="M134" s="100"/>
      <c r="N134" s="100"/>
      <c r="O134" s="63"/>
      <c r="P134" s="63"/>
      <c r="Q134" s="107"/>
      <c r="R134" s="92"/>
      <c r="S134" s="108"/>
      <c r="T134" s="92"/>
      <c r="U134" s="107"/>
      <c r="V134" s="107"/>
      <c r="W134" s="107"/>
      <c r="X134" s="92"/>
      <c r="Y134" s="107"/>
      <c r="Z134" s="107"/>
      <c r="AA134" s="81"/>
      <c r="AB134" s="81"/>
      <c r="AC134" s="81"/>
      <c r="AD134" s="81"/>
      <c r="AE134" s="81"/>
      <c r="AF134" s="81"/>
      <c r="AG134" s="81"/>
      <c r="AH134" s="81"/>
      <c r="AI134" s="81"/>
      <c r="AJ134" s="81"/>
      <c r="AK134" s="81"/>
      <c r="AL134" s="81"/>
      <c r="AM134" s="81"/>
      <c r="AN134" s="81"/>
      <c r="AO134" s="81"/>
    </row>
    <row r="135" spans="2:41">
      <c r="B135" s="9">
        <v>127</v>
      </c>
      <c r="C135" s="95" t="s">
        <v>387</v>
      </c>
      <c r="D135" s="61" t="s">
        <v>571</v>
      </c>
      <c r="E135" s="290" t="s">
        <v>1599</v>
      </c>
      <c r="F135" s="100"/>
      <c r="G135" s="63"/>
      <c r="H135" s="63"/>
      <c r="I135" s="63"/>
      <c r="J135" s="100"/>
      <c r="K135" s="100"/>
      <c r="L135" s="100"/>
      <c r="M135" s="100"/>
      <c r="N135" s="100"/>
      <c r="O135" s="63"/>
      <c r="P135" s="63"/>
      <c r="Q135" s="107"/>
      <c r="R135" s="92"/>
      <c r="S135" s="108"/>
      <c r="T135" s="92"/>
      <c r="U135" s="107"/>
      <c r="V135" s="107"/>
      <c r="W135" s="107"/>
      <c r="X135" s="92"/>
      <c r="Y135" s="107"/>
      <c r="Z135" s="107"/>
      <c r="AA135" s="81"/>
      <c r="AB135" s="81"/>
      <c r="AC135" s="81"/>
      <c r="AD135" s="81"/>
      <c r="AE135" s="81"/>
      <c r="AF135" s="81"/>
      <c r="AG135" s="81"/>
      <c r="AH135" s="81"/>
      <c r="AI135" s="81"/>
      <c r="AJ135" s="81"/>
      <c r="AK135" s="81"/>
      <c r="AL135" s="81"/>
      <c r="AM135" s="81"/>
      <c r="AN135" s="81"/>
      <c r="AO135" s="81"/>
    </row>
    <row r="136" spans="2:41">
      <c r="B136" s="9">
        <v>128</v>
      </c>
      <c r="C136" s="31" t="s">
        <v>138</v>
      </c>
      <c r="D136" s="61" t="s">
        <v>572</v>
      </c>
      <c r="E136" s="290" t="s">
        <v>533</v>
      </c>
      <c r="F136" s="234">
        <v>6.8811541441318793</v>
      </c>
      <c r="G136" s="229"/>
      <c r="H136" s="229"/>
      <c r="I136" s="229">
        <v>8.1837346429176425E-3</v>
      </c>
      <c r="J136" s="234">
        <v>3.7017825905928685</v>
      </c>
      <c r="K136" s="234">
        <v>6.7832110363689164</v>
      </c>
      <c r="L136" s="234">
        <v>6.8811541441318793</v>
      </c>
      <c r="M136" s="308">
        <v>15.03272340258458</v>
      </c>
      <c r="N136" s="308">
        <v>12.225764612009604</v>
      </c>
      <c r="O136" s="234">
        <f>MIN(K136,L136,M136,N136)</f>
        <v>6.7832110363689164</v>
      </c>
      <c r="P136" s="234">
        <f>MIN(M136,N136)</f>
        <v>12.225764612009604</v>
      </c>
      <c r="Q136" s="107"/>
      <c r="R136" s="99"/>
      <c r="S136" s="108"/>
      <c r="T136" s="99"/>
      <c r="U136" s="109"/>
      <c r="V136" s="109"/>
      <c r="W136" s="107"/>
      <c r="X136" s="92"/>
      <c r="Y136" s="109"/>
      <c r="Z136" s="107"/>
      <c r="AA136" s="81"/>
      <c r="AB136" s="81"/>
      <c r="AC136" s="81"/>
      <c r="AD136" s="81"/>
      <c r="AE136" s="81"/>
      <c r="AF136" s="81"/>
      <c r="AG136" s="81"/>
      <c r="AH136" s="81"/>
      <c r="AI136" s="81"/>
      <c r="AJ136" s="81"/>
      <c r="AK136" s="81"/>
      <c r="AL136" s="81"/>
      <c r="AM136" s="81"/>
      <c r="AN136" s="81"/>
      <c r="AO136" s="81"/>
    </row>
    <row r="137" spans="2:41">
      <c r="B137" s="9">
        <v>129</v>
      </c>
      <c r="C137" s="95" t="s">
        <v>388</v>
      </c>
      <c r="D137" s="61" t="s">
        <v>541</v>
      </c>
      <c r="E137" s="294" t="s">
        <v>389</v>
      </c>
      <c r="F137" s="93"/>
      <c r="G137" s="93"/>
      <c r="H137" s="93"/>
      <c r="I137" s="94"/>
      <c r="J137" s="94"/>
      <c r="K137" s="94"/>
      <c r="L137" s="94"/>
      <c r="M137" s="94"/>
      <c r="N137" s="94"/>
      <c r="O137" s="63"/>
      <c r="P137" s="63"/>
      <c r="Q137" s="92"/>
      <c r="R137" s="92"/>
      <c r="S137" s="84"/>
      <c r="T137" s="92"/>
      <c r="U137" s="92"/>
      <c r="V137" s="92"/>
      <c r="W137" s="92"/>
      <c r="X137" s="92"/>
      <c r="Y137" s="92"/>
      <c r="Z137" s="92"/>
      <c r="AA137" s="81"/>
      <c r="AB137" s="81"/>
      <c r="AC137" s="81"/>
      <c r="AD137" s="81"/>
      <c r="AE137" s="81"/>
      <c r="AF137" s="81"/>
      <c r="AG137" s="81"/>
      <c r="AH137" s="81"/>
      <c r="AI137" s="81"/>
      <c r="AJ137" s="81"/>
      <c r="AK137" s="81"/>
      <c r="AL137" s="81"/>
      <c r="AM137" s="81"/>
      <c r="AN137" s="81"/>
      <c r="AO137" s="81"/>
    </row>
    <row r="138" spans="2:41">
      <c r="B138" s="9">
        <v>130</v>
      </c>
      <c r="C138" s="31" t="s">
        <v>54</v>
      </c>
      <c r="D138" s="61">
        <v>1</v>
      </c>
      <c r="E138" s="290" t="s">
        <v>53</v>
      </c>
      <c r="F138" s="100">
        <v>17.278331328519599</v>
      </c>
      <c r="G138" s="63"/>
      <c r="H138" s="63"/>
      <c r="I138" s="63">
        <v>2.3276425566599295E-2</v>
      </c>
      <c r="J138" s="63">
        <v>3.7637425347274739E-2</v>
      </c>
      <c r="K138" s="106">
        <v>1.1266570470337147</v>
      </c>
      <c r="L138" s="100">
        <v>17.278331328519599</v>
      </c>
      <c r="M138" s="63">
        <v>0.24591027197751561</v>
      </c>
      <c r="N138" s="63">
        <v>0.83256714848469138</v>
      </c>
      <c r="O138" s="63">
        <f>MIN(K138,L138,M138,N138)</f>
        <v>0.24591027197751561</v>
      </c>
      <c r="P138" s="63">
        <f t="shared" ref="P138:P201" si="7">MIN(M138,N138)</f>
        <v>0.24591027197751561</v>
      </c>
      <c r="Q138" s="107"/>
      <c r="R138" s="92"/>
      <c r="S138" s="108"/>
      <c r="T138" s="92"/>
      <c r="U138" s="92"/>
      <c r="V138" s="109"/>
      <c r="W138" s="107"/>
      <c r="X138" s="92"/>
      <c r="Y138" s="109"/>
      <c r="Z138" s="109"/>
      <c r="AA138" s="81"/>
      <c r="AB138" s="81"/>
      <c r="AC138" s="81"/>
      <c r="AD138" s="81"/>
      <c r="AE138" s="81"/>
      <c r="AF138" s="81"/>
      <c r="AG138" s="81"/>
      <c r="AH138" s="81"/>
      <c r="AI138" s="81"/>
      <c r="AJ138" s="81"/>
      <c r="AK138" s="81"/>
      <c r="AL138" s="81"/>
      <c r="AM138" s="81"/>
      <c r="AN138" s="81"/>
      <c r="AO138" s="81"/>
    </row>
    <row r="139" spans="2:41">
      <c r="B139" s="9">
        <v>131</v>
      </c>
      <c r="C139" s="31" t="s">
        <v>141</v>
      </c>
      <c r="D139" s="61" t="s">
        <v>573</v>
      </c>
      <c r="E139" s="290" t="s">
        <v>534</v>
      </c>
      <c r="F139" s="234">
        <v>0.53450291329606536</v>
      </c>
      <c r="G139" s="229"/>
      <c r="H139" s="229"/>
      <c r="I139" s="229">
        <v>2.9678817027633999E-3</v>
      </c>
      <c r="J139" s="234">
        <v>0.38307767519600117</v>
      </c>
      <c r="K139" s="234">
        <v>0.51300243343286334</v>
      </c>
      <c r="L139" s="234">
        <v>0.53450291329606536</v>
      </c>
      <c r="M139" s="308">
        <v>1.2693593949603719</v>
      </c>
      <c r="N139" s="234">
        <v>0.96420570381269688</v>
      </c>
      <c r="O139" s="234">
        <f>MIN(K139,L139,M139,N139)</f>
        <v>0.51300243343286334</v>
      </c>
      <c r="P139" s="234">
        <f t="shared" si="7"/>
        <v>0.96420570381269688</v>
      </c>
      <c r="Q139" s="109"/>
      <c r="R139" s="102"/>
      <c r="S139" s="108"/>
      <c r="T139" s="102"/>
      <c r="U139" s="109"/>
      <c r="V139" s="109"/>
      <c r="W139" s="107"/>
      <c r="X139" s="92"/>
      <c r="Y139" s="109"/>
      <c r="Z139" s="109"/>
      <c r="AA139" s="81"/>
      <c r="AB139" s="81"/>
      <c r="AC139" s="81"/>
      <c r="AD139" s="81"/>
      <c r="AE139" s="81"/>
      <c r="AF139" s="81"/>
      <c r="AG139" s="81"/>
      <c r="AH139" s="81"/>
      <c r="AI139" s="81"/>
      <c r="AJ139" s="81"/>
      <c r="AK139" s="81"/>
      <c r="AL139" s="81"/>
      <c r="AM139" s="81"/>
      <c r="AN139" s="81"/>
      <c r="AO139" s="81"/>
    </row>
    <row r="140" spans="2:41">
      <c r="B140" s="9">
        <v>132</v>
      </c>
      <c r="C140" s="95" t="s">
        <v>390</v>
      </c>
      <c r="D140" s="61" t="s">
        <v>571</v>
      </c>
      <c r="E140" s="290" t="s">
        <v>1552</v>
      </c>
      <c r="F140" s="100"/>
      <c r="G140" s="63"/>
      <c r="H140" s="63"/>
      <c r="I140" s="63"/>
      <c r="J140" s="100"/>
      <c r="K140" s="100"/>
      <c r="L140" s="100"/>
      <c r="M140" s="100"/>
      <c r="N140" s="100"/>
      <c r="O140" s="63"/>
      <c r="P140" s="63"/>
      <c r="Q140" s="107"/>
      <c r="R140" s="92"/>
      <c r="S140" s="108"/>
      <c r="T140" s="92"/>
      <c r="U140" s="107"/>
      <c r="V140" s="107"/>
      <c r="W140" s="107"/>
      <c r="X140" s="92"/>
      <c r="Y140" s="107"/>
      <c r="Z140" s="107"/>
      <c r="AA140" s="81"/>
      <c r="AB140" s="81"/>
      <c r="AC140" s="81"/>
      <c r="AD140" s="81"/>
      <c r="AE140" s="81"/>
      <c r="AF140" s="81"/>
      <c r="AG140" s="81"/>
      <c r="AH140" s="81"/>
      <c r="AI140" s="81"/>
      <c r="AJ140" s="81"/>
      <c r="AK140" s="81"/>
      <c r="AL140" s="81"/>
      <c r="AM140" s="81"/>
      <c r="AN140" s="81"/>
      <c r="AO140" s="81"/>
    </row>
    <row r="141" spans="2:41">
      <c r="B141" s="9">
        <v>133</v>
      </c>
      <c r="C141" s="31" t="s">
        <v>139</v>
      </c>
      <c r="D141" s="61" t="s">
        <v>571</v>
      </c>
      <c r="E141" s="290" t="s">
        <v>1664</v>
      </c>
      <c r="F141" s="63">
        <v>0.9794715461012321</v>
      </c>
      <c r="G141" s="111"/>
      <c r="H141" s="111"/>
      <c r="I141" s="111">
        <v>9.8940748185112441E-4</v>
      </c>
      <c r="J141" s="98">
        <v>0.37818212456773515</v>
      </c>
      <c r="K141" s="63">
        <v>0.94420293187602389</v>
      </c>
      <c r="L141" s="63">
        <v>0.9794715461012321</v>
      </c>
      <c r="M141" s="63">
        <v>1.6791323730526455</v>
      </c>
      <c r="N141" s="63">
        <v>1.6431147766946306</v>
      </c>
      <c r="O141" s="63">
        <f>MIN(K141,L141,M141,N141)</f>
        <v>0.94420293187602389</v>
      </c>
      <c r="P141" s="63">
        <f t="shared" si="7"/>
        <v>1.6431147766946306</v>
      </c>
      <c r="Q141" s="109"/>
      <c r="R141" s="102"/>
      <c r="S141" s="108"/>
      <c r="T141" s="102"/>
      <c r="U141" s="109"/>
      <c r="V141" s="109"/>
      <c r="W141" s="107"/>
      <c r="X141" s="92"/>
      <c r="Y141" s="109"/>
      <c r="Z141" s="109"/>
      <c r="AA141" s="81"/>
      <c r="AB141" s="81"/>
      <c r="AC141" s="81"/>
      <c r="AD141" s="81"/>
      <c r="AE141" s="81"/>
      <c r="AF141" s="81"/>
      <c r="AG141" s="81"/>
      <c r="AH141" s="81"/>
      <c r="AI141" s="81"/>
      <c r="AJ141" s="81"/>
      <c r="AK141" s="81"/>
      <c r="AL141" s="81"/>
      <c r="AM141" s="81"/>
      <c r="AN141" s="81"/>
      <c r="AO141" s="81"/>
    </row>
    <row r="142" spans="2:41">
      <c r="B142" s="9">
        <v>134</v>
      </c>
      <c r="C142" s="95" t="s">
        <v>391</v>
      </c>
      <c r="D142" s="61" t="s">
        <v>571</v>
      </c>
      <c r="E142" s="290" t="s">
        <v>1526</v>
      </c>
      <c r="F142" s="100"/>
      <c r="G142" s="63"/>
      <c r="H142" s="63"/>
      <c r="I142" s="63"/>
      <c r="J142" s="100"/>
      <c r="K142" s="100"/>
      <c r="L142" s="100"/>
      <c r="M142" s="100"/>
      <c r="N142" s="100"/>
      <c r="O142" s="63"/>
      <c r="P142" s="63"/>
      <c r="Q142" s="107"/>
      <c r="R142" s="92"/>
      <c r="S142" s="108"/>
      <c r="T142" s="92"/>
      <c r="U142" s="107"/>
      <c r="V142" s="107"/>
      <c r="W142" s="107"/>
      <c r="X142" s="92"/>
      <c r="Y142" s="107"/>
      <c r="Z142" s="107"/>
      <c r="AA142" s="81"/>
      <c r="AB142" s="81"/>
      <c r="AC142" s="81"/>
      <c r="AD142" s="81"/>
      <c r="AE142" s="81"/>
      <c r="AF142" s="81"/>
      <c r="AG142" s="81"/>
      <c r="AH142" s="81"/>
      <c r="AI142" s="81"/>
      <c r="AJ142" s="81"/>
      <c r="AK142" s="81"/>
      <c r="AL142" s="81"/>
      <c r="AM142" s="81"/>
      <c r="AN142" s="81"/>
      <c r="AO142" s="81"/>
    </row>
    <row r="143" spans="2:41" ht="45">
      <c r="B143" s="9">
        <v>135</v>
      </c>
      <c r="C143" s="61" t="s">
        <v>392</v>
      </c>
      <c r="D143" s="61" t="s">
        <v>571</v>
      </c>
      <c r="E143" s="290" t="s">
        <v>1688</v>
      </c>
      <c r="F143" s="100"/>
      <c r="G143" s="63"/>
      <c r="H143" s="63"/>
      <c r="I143" s="63"/>
      <c r="J143" s="100"/>
      <c r="K143" s="100"/>
      <c r="L143" s="100"/>
      <c r="M143" s="100"/>
      <c r="N143" s="100"/>
      <c r="O143" s="63"/>
      <c r="P143" s="63"/>
      <c r="Q143" s="107"/>
      <c r="R143" s="92"/>
      <c r="S143" s="108"/>
      <c r="T143" s="92"/>
      <c r="U143" s="107"/>
      <c r="V143" s="107"/>
      <c r="W143" s="107"/>
      <c r="X143" s="92"/>
      <c r="Y143" s="107"/>
      <c r="Z143" s="107"/>
      <c r="AA143" s="81"/>
      <c r="AB143" s="81"/>
      <c r="AC143" s="81"/>
      <c r="AD143" s="81"/>
      <c r="AE143" s="81"/>
      <c r="AF143" s="81"/>
      <c r="AG143" s="81"/>
      <c r="AH143" s="81"/>
      <c r="AI143" s="81"/>
      <c r="AJ143" s="81"/>
      <c r="AK143" s="81"/>
      <c r="AL143" s="81"/>
      <c r="AM143" s="81"/>
      <c r="AN143" s="81"/>
      <c r="AO143" s="81"/>
    </row>
    <row r="144" spans="2:41">
      <c r="B144" s="9">
        <v>136</v>
      </c>
      <c r="C144" s="31" t="s">
        <v>140</v>
      </c>
      <c r="D144" s="61">
        <v>1</v>
      </c>
      <c r="E144" s="290" t="s">
        <v>1692</v>
      </c>
      <c r="F144" s="106">
        <v>1.5707813609549421</v>
      </c>
      <c r="G144" s="98"/>
      <c r="H144" s="98"/>
      <c r="I144" s="98">
        <v>3.4932520977744193E-3</v>
      </c>
      <c r="J144" s="63">
        <v>0.36847603729885048</v>
      </c>
      <c r="K144" s="63">
        <v>0.96099986030534779</v>
      </c>
      <c r="L144" s="106">
        <v>1.5707813609549421</v>
      </c>
      <c r="M144" s="106">
        <v>1.3820483601097817</v>
      </c>
      <c r="N144" s="106">
        <v>1.8410347333805286</v>
      </c>
      <c r="O144" s="63">
        <f>MIN(K144,L144,M144,N144)</f>
        <v>0.96099986030534779</v>
      </c>
      <c r="P144" s="63">
        <f t="shared" si="7"/>
        <v>1.3820483601097817</v>
      </c>
      <c r="Q144" s="109"/>
      <c r="R144" s="102"/>
      <c r="S144" s="108"/>
      <c r="T144" s="102"/>
      <c r="U144" s="109"/>
      <c r="V144" s="109"/>
      <c r="W144" s="107"/>
      <c r="X144" s="92"/>
      <c r="Y144" s="109"/>
      <c r="Z144" s="109"/>
      <c r="AA144" s="81"/>
      <c r="AB144" s="81"/>
      <c r="AC144" s="81"/>
      <c r="AD144" s="81"/>
      <c r="AE144" s="81"/>
      <c r="AF144" s="81"/>
      <c r="AG144" s="81"/>
      <c r="AH144" s="81"/>
      <c r="AI144" s="81"/>
      <c r="AJ144" s="81"/>
      <c r="AK144" s="81"/>
      <c r="AL144" s="81"/>
      <c r="AM144" s="81"/>
      <c r="AN144" s="81"/>
      <c r="AO144" s="81"/>
    </row>
    <row r="145" spans="2:41">
      <c r="B145" s="9">
        <v>137</v>
      </c>
      <c r="C145" s="61" t="s">
        <v>393</v>
      </c>
      <c r="D145" s="61" t="s">
        <v>571</v>
      </c>
      <c r="E145" s="290" t="s">
        <v>1519</v>
      </c>
      <c r="F145" s="100"/>
      <c r="G145" s="63"/>
      <c r="H145" s="63"/>
      <c r="I145" s="63"/>
      <c r="J145" s="100"/>
      <c r="K145" s="100"/>
      <c r="L145" s="100"/>
      <c r="M145" s="100"/>
      <c r="N145" s="100"/>
      <c r="O145" s="63"/>
      <c r="P145" s="63"/>
      <c r="Q145" s="107"/>
      <c r="R145" s="92"/>
      <c r="S145" s="108"/>
      <c r="T145" s="92"/>
      <c r="U145" s="107"/>
      <c r="V145" s="107"/>
      <c r="W145" s="107"/>
      <c r="X145" s="92"/>
      <c r="Y145" s="107"/>
      <c r="Z145" s="107"/>
      <c r="AA145" s="81"/>
      <c r="AB145" s="81"/>
      <c r="AC145" s="81"/>
      <c r="AD145" s="81"/>
      <c r="AE145" s="81"/>
      <c r="AF145" s="81"/>
      <c r="AG145" s="81"/>
      <c r="AH145" s="81"/>
      <c r="AI145" s="81"/>
      <c r="AJ145" s="81"/>
      <c r="AK145" s="81"/>
      <c r="AL145" s="81"/>
      <c r="AM145" s="81"/>
      <c r="AN145" s="81"/>
      <c r="AO145" s="81"/>
    </row>
    <row r="146" spans="2:41">
      <c r="B146" s="9">
        <v>138</v>
      </c>
      <c r="C146" s="61" t="s">
        <v>394</v>
      </c>
      <c r="D146" s="61" t="s">
        <v>571</v>
      </c>
      <c r="E146" s="290" t="s">
        <v>1715</v>
      </c>
      <c r="F146" s="106"/>
      <c r="G146" s="63"/>
      <c r="H146" s="63"/>
      <c r="I146" s="63"/>
      <c r="J146" s="106"/>
      <c r="K146" s="106"/>
      <c r="L146" s="106"/>
      <c r="M146" s="106"/>
      <c r="N146" s="106"/>
      <c r="O146" s="63"/>
      <c r="P146" s="63"/>
      <c r="Q146" s="109"/>
      <c r="R146" s="92"/>
      <c r="S146" s="108"/>
      <c r="T146" s="92"/>
      <c r="U146" s="109"/>
      <c r="V146" s="109"/>
      <c r="W146" s="109"/>
      <c r="X146" s="92"/>
      <c r="Y146" s="109"/>
      <c r="Z146" s="109"/>
      <c r="AA146" s="81"/>
      <c r="AB146" s="81"/>
      <c r="AC146" s="81"/>
      <c r="AD146" s="81"/>
      <c r="AE146" s="81"/>
      <c r="AF146" s="81"/>
      <c r="AG146" s="81"/>
      <c r="AH146" s="81"/>
      <c r="AI146" s="81"/>
      <c r="AJ146" s="81"/>
      <c r="AK146" s="81"/>
      <c r="AL146" s="81"/>
      <c r="AM146" s="81"/>
      <c r="AN146" s="81"/>
      <c r="AO146" s="81"/>
    </row>
    <row r="147" spans="2:41">
      <c r="B147" s="9">
        <v>139</v>
      </c>
      <c r="C147" s="61" t="s">
        <v>395</v>
      </c>
      <c r="D147" s="61" t="s">
        <v>571</v>
      </c>
      <c r="E147" s="290" t="s">
        <v>1512</v>
      </c>
      <c r="F147" s="100"/>
      <c r="G147" s="63"/>
      <c r="H147" s="63"/>
      <c r="I147" s="63"/>
      <c r="J147" s="100"/>
      <c r="K147" s="100"/>
      <c r="L147" s="100"/>
      <c r="M147" s="100"/>
      <c r="N147" s="100"/>
      <c r="O147" s="63"/>
      <c r="P147" s="63"/>
      <c r="Q147" s="107"/>
      <c r="R147" s="92"/>
      <c r="S147" s="108"/>
      <c r="T147" s="92"/>
      <c r="U147" s="107"/>
      <c r="V147" s="107"/>
      <c r="W147" s="107"/>
      <c r="X147" s="92"/>
      <c r="Y147" s="107"/>
      <c r="Z147" s="107"/>
      <c r="AA147" s="81"/>
      <c r="AB147" s="81"/>
      <c r="AC147" s="81"/>
      <c r="AD147" s="81"/>
      <c r="AE147" s="81"/>
      <c r="AF147" s="81"/>
      <c r="AG147" s="81"/>
      <c r="AH147" s="81"/>
      <c r="AI147" s="81"/>
      <c r="AJ147" s="81"/>
      <c r="AK147" s="81"/>
      <c r="AL147" s="81"/>
      <c r="AM147" s="81"/>
      <c r="AN147" s="81"/>
      <c r="AO147" s="81"/>
    </row>
    <row r="148" spans="2:41">
      <c r="B148" s="9">
        <v>140</v>
      </c>
      <c r="C148" s="61" t="s">
        <v>396</v>
      </c>
      <c r="D148" s="61" t="s">
        <v>571</v>
      </c>
      <c r="E148" s="290" t="s">
        <v>1725</v>
      </c>
      <c r="F148" s="106"/>
      <c r="G148" s="63"/>
      <c r="H148" s="63"/>
      <c r="I148" s="63"/>
      <c r="J148" s="106"/>
      <c r="K148" s="106"/>
      <c r="L148" s="106"/>
      <c r="M148" s="106"/>
      <c r="N148" s="106"/>
      <c r="O148" s="63"/>
      <c r="P148" s="63"/>
      <c r="Q148" s="109"/>
      <c r="R148" s="92"/>
      <c r="S148" s="108"/>
      <c r="T148" s="92"/>
      <c r="U148" s="109"/>
      <c r="V148" s="109"/>
      <c r="W148" s="109"/>
      <c r="X148" s="92"/>
      <c r="Y148" s="109"/>
      <c r="Z148" s="109"/>
      <c r="AA148" s="81"/>
      <c r="AB148" s="81"/>
      <c r="AC148" s="81"/>
      <c r="AD148" s="81"/>
      <c r="AE148" s="81"/>
      <c r="AF148" s="81"/>
      <c r="AG148" s="81"/>
      <c r="AH148" s="81"/>
      <c r="AI148" s="81"/>
      <c r="AJ148" s="81"/>
      <c r="AK148" s="81"/>
      <c r="AL148" s="81"/>
      <c r="AM148" s="81"/>
      <c r="AN148" s="81"/>
      <c r="AO148" s="81"/>
    </row>
    <row r="149" spans="2:41">
      <c r="B149" s="9">
        <v>141</v>
      </c>
      <c r="C149" s="61" t="s">
        <v>397</v>
      </c>
      <c r="D149" s="61" t="s">
        <v>571</v>
      </c>
      <c r="E149" s="290" t="s">
        <v>1748</v>
      </c>
      <c r="F149" s="106"/>
      <c r="G149" s="63"/>
      <c r="H149" s="63"/>
      <c r="I149" s="63"/>
      <c r="J149" s="106"/>
      <c r="K149" s="106"/>
      <c r="L149" s="106"/>
      <c r="M149" s="106"/>
      <c r="N149" s="106"/>
      <c r="O149" s="63"/>
      <c r="P149" s="63"/>
      <c r="Q149" s="109"/>
      <c r="R149" s="92"/>
      <c r="S149" s="108"/>
      <c r="T149" s="92"/>
      <c r="U149" s="109"/>
      <c r="V149" s="109"/>
      <c r="W149" s="109"/>
      <c r="X149" s="92"/>
      <c r="Y149" s="109"/>
      <c r="Z149" s="109"/>
      <c r="AA149" s="81"/>
      <c r="AB149" s="81"/>
      <c r="AC149" s="81"/>
      <c r="AD149" s="81"/>
      <c r="AE149" s="81"/>
      <c r="AF149" s="81"/>
      <c r="AG149" s="81"/>
      <c r="AH149" s="81"/>
      <c r="AI149" s="81"/>
      <c r="AJ149" s="81"/>
      <c r="AK149" s="81"/>
      <c r="AL149" s="81"/>
      <c r="AM149" s="81"/>
      <c r="AN149" s="81"/>
      <c r="AO149" s="81"/>
    </row>
    <row r="150" spans="2:41">
      <c r="B150" s="9">
        <v>142</v>
      </c>
      <c r="C150" s="61" t="s">
        <v>398</v>
      </c>
      <c r="D150" s="61" t="s">
        <v>571</v>
      </c>
      <c r="E150" s="290" t="s">
        <v>1750</v>
      </c>
      <c r="F150" s="106"/>
      <c r="G150" s="63"/>
      <c r="H150" s="63"/>
      <c r="I150" s="63"/>
      <c r="J150" s="106"/>
      <c r="K150" s="106"/>
      <c r="L150" s="106"/>
      <c r="M150" s="106"/>
      <c r="N150" s="106"/>
      <c r="O150" s="63"/>
      <c r="P150" s="63"/>
      <c r="Q150" s="109"/>
      <c r="R150" s="92"/>
      <c r="S150" s="108"/>
      <c r="T150" s="92"/>
      <c r="U150" s="109"/>
      <c r="V150" s="109"/>
      <c r="W150" s="109"/>
      <c r="X150" s="92"/>
      <c r="Y150" s="109"/>
      <c r="Z150" s="109"/>
      <c r="AA150" s="81"/>
      <c r="AB150" s="81"/>
      <c r="AC150" s="81"/>
      <c r="AD150" s="81"/>
      <c r="AE150" s="81"/>
      <c r="AF150" s="81"/>
      <c r="AG150" s="81"/>
      <c r="AH150" s="81"/>
      <c r="AI150" s="81"/>
      <c r="AJ150" s="81"/>
      <c r="AK150" s="81"/>
      <c r="AL150" s="81"/>
      <c r="AM150" s="81"/>
      <c r="AN150" s="81"/>
      <c r="AO150" s="81"/>
    </row>
    <row r="151" spans="2:41">
      <c r="B151" s="9">
        <v>143</v>
      </c>
      <c r="C151" s="31" t="s">
        <v>209</v>
      </c>
      <c r="D151" s="61" t="s">
        <v>571</v>
      </c>
      <c r="E151" s="290" t="s">
        <v>1778</v>
      </c>
      <c r="F151" s="62"/>
      <c r="G151" s="63"/>
      <c r="H151" s="63"/>
      <c r="I151" s="63"/>
      <c r="J151" s="63"/>
      <c r="K151" s="63"/>
      <c r="L151" s="63"/>
      <c r="M151" s="63"/>
      <c r="N151" s="63"/>
      <c r="O151" s="63"/>
      <c r="P151" s="63"/>
      <c r="Q151" s="92"/>
      <c r="R151" s="92"/>
      <c r="S151" s="84"/>
      <c r="T151" s="92"/>
      <c r="U151" s="92"/>
      <c r="V151" s="92"/>
      <c r="W151" s="92"/>
      <c r="X151" s="92"/>
      <c r="Y151" s="92"/>
      <c r="Z151" s="92"/>
      <c r="AA151" s="81"/>
      <c r="AB151" s="81"/>
      <c r="AC151" s="81"/>
      <c r="AD151" s="81"/>
      <c r="AE151" s="81"/>
      <c r="AF151" s="81"/>
      <c r="AG151" s="81"/>
      <c r="AH151" s="81"/>
      <c r="AI151" s="81"/>
      <c r="AJ151" s="81"/>
      <c r="AK151" s="81"/>
      <c r="AL151" s="81"/>
      <c r="AM151" s="81"/>
      <c r="AN151" s="81"/>
      <c r="AO151" s="81"/>
    </row>
    <row r="152" spans="2:41">
      <c r="B152" s="9">
        <v>144</v>
      </c>
      <c r="C152" s="95" t="s">
        <v>388</v>
      </c>
      <c r="D152" s="61" t="s">
        <v>541</v>
      </c>
      <c r="E152" s="250" t="s">
        <v>399</v>
      </c>
      <c r="F152" s="93"/>
      <c r="G152" s="93"/>
      <c r="H152" s="93"/>
      <c r="I152" s="94"/>
      <c r="J152" s="94"/>
      <c r="K152" s="94"/>
      <c r="L152" s="94"/>
      <c r="M152" s="94"/>
      <c r="N152" s="94"/>
      <c r="O152" s="63"/>
      <c r="P152" s="63"/>
      <c r="Q152" s="92"/>
      <c r="R152" s="92"/>
      <c r="S152" s="84"/>
      <c r="T152" s="92"/>
      <c r="U152" s="92"/>
      <c r="V152" s="92"/>
      <c r="W152" s="92"/>
      <c r="X152" s="92"/>
      <c r="Y152" s="92"/>
      <c r="Z152" s="92"/>
      <c r="AA152" s="81"/>
      <c r="AB152" s="81"/>
      <c r="AC152" s="81"/>
      <c r="AD152" s="81"/>
      <c r="AE152" s="81"/>
      <c r="AF152" s="81"/>
      <c r="AG152" s="81"/>
      <c r="AH152" s="81"/>
      <c r="AI152" s="81"/>
      <c r="AJ152" s="81"/>
      <c r="AK152" s="81"/>
      <c r="AL152" s="81"/>
      <c r="AM152" s="81"/>
      <c r="AN152" s="81"/>
      <c r="AO152" s="81"/>
    </row>
    <row r="153" spans="2:41">
      <c r="B153" s="9">
        <v>145</v>
      </c>
      <c r="C153" s="31" t="s">
        <v>400</v>
      </c>
      <c r="D153" s="61" t="s">
        <v>571</v>
      </c>
      <c r="E153" s="290" t="s">
        <v>1779</v>
      </c>
      <c r="F153" s="63"/>
      <c r="G153" s="63"/>
      <c r="H153" s="63"/>
      <c r="I153" s="63"/>
      <c r="J153" s="63"/>
      <c r="K153" s="63"/>
      <c r="L153" s="63"/>
      <c r="M153" s="63"/>
      <c r="N153" s="63"/>
      <c r="O153" s="63"/>
      <c r="P153" s="63"/>
      <c r="Q153" s="92"/>
      <c r="R153" s="92"/>
      <c r="S153" s="84"/>
      <c r="T153" s="92"/>
      <c r="U153" s="92"/>
      <c r="V153" s="92"/>
      <c r="W153" s="92"/>
      <c r="X153" s="92"/>
      <c r="Y153" s="92"/>
      <c r="Z153" s="92"/>
      <c r="AA153" s="81"/>
      <c r="AB153" s="81"/>
      <c r="AC153" s="81"/>
      <c r="AD153" s="81"/>
      <c r="AE153" s="81"/>
      <c r="AF153" s="81"/>
      <c r="AG153" s="81"/>
      <c r="AH153" s="81"/>
      <c r="AI153" s="81"/>
      <c r="AJ153" s="81"/>
      <c r="AK153" s="81"/>
      <c r="AL153" s="81"/>
      <c r="AM153" s="81"/>
      <c r="AN153" s="81"/>
      <c r="AO153" s="81"/>
    </row>
    <row r="154" spans="2:41">
      <c r="B154" s="9">
        <v>146</v>
      </c>
      <c r="C154" s="9" t="s">
        <v>401</v>
      </c>
      <c r="D154" s="61" t="s">
        <v>571</v>
      </c>
      <c r="E154" s="290" t="s">
        <v>1651</v>
      </c>
      <c r="F154" s="94"/>
      <c r="G154" s="94"/>
      <c r="H154" s="94"/>
      <c r="I154" s="94"/>
      <c r="J154" s="94"/>
      <c r="K154" s="94"/>
      <c r="L154" s="94"/>
      <c r="M154" s="94"/>
      <c r="N154" s="94"/>
      <c r="O154" s="63"/>
      <c r="P154" s="63"/>
      <c r="Q154" s="81"/>
      <c r="R154" s="81"/>
      <c r="S154" s="81"/>
      <c r="T154" s="81"/>
      <c r="U154" s="81"/>
      <c r="V154" s="81"/>
      <c r="W154" s="81"/>
      <c r="X154" s="81"/>
      <c r="Y154" s="81"/>
      <c r="Z154" s="81"/>
      <c r="AA154" s="81"/>
      <c r="AB154" s="81"/>
      <c r="AC154" s="81"/>
      <c r="AD154" s="81"/>
      <c r="AE154" s="81"/>
      <c r="AF154" s="81"/>
      <c r="AG154" s="81"/>
      <c r="AH154" s="81"/>
      <c r="AI154" s="81"/>
      <c r="AJ154" s="81"/>
      <c r="AK154" s="81"/>
      <c r="AL154" s="81"/>
      <c r="AM154" s="81"/>
      <c r="AN154" s="81"/>
      <c r="AO154" s="81"/>
    </row>
    <row r="155" spans="2:41">
      <c r="B155" s="9">
        <v>147</v>
      </c>
      <c r="C155" s="9" t="s">
        <v>402</v>
      </c>
      <c r="D155" s="61" t="s">
        <v>571</v>
      </c>
      <c r="E155" s="290" t="s">
        <v>1644</v>
      </c>
      <c r="F155" s="94"/>
      <c r="G155" s="94"/>
      <c r="H155" s="94"/>
      <c r="I155" s="94"/>
      <c r="J155" s="94"/>
      <c r="K155" s="94"/>
      <c r="L155" s="94"/>
      <c r="M155" s="94"/>
      <c r="N155" s="94"/>
      <c r="O155" s="63"/>
      <c r="P155" s="63"/>
      <c r="Q155" s="81"/>
      <c r="R155" s="81"/>
      <c r="S155" s="81"/>
      <c r="T155" s="81"/>
      <c r="U155" s="81"/>
      <c r="V155" s="81"/>
      <c r="W155" s="81"/>
      <c r="X155" s="81"/>
      <c r="Y155" s="81"/>
      <c r="Z155" s="81"/>
      <c r="AA155" s="81"/>
      <c r="AB155" s="81"/>
      <c r="AC155" s="81"/>
      <c r="AD155" s="81"/>
      <c r="AE155" s="81"/>
      <c r="AF155" s="81"/>
      <c r="AG155" s="81"/>
      <c r="AH155" s="81"/>
      <c r="AI155" s="81"/>
      <c r="AJ155" s="81"/>
      <c r="AK155" s="81"/>
      <c r="AL155" s="81"/>
      <c r="AM155" s="81"/>
      <c r="AN155" s="81"/>
      <c r="AO155" s="81"/>
    </row>
    <row r="156" spans="2:41">
      <c r="B156" s="9">
        <v>148</v>
      </c>
      <c r="C156" s="9" t="s">
        <v>403</v>
      </c>
      <c r="D156" s="61" t="s">
        <v>571</v>
      </c>
      <c r="E156" s="290" t="s">
        <v>1596</v>
      </c>
      <c r="F156" s="94"/>
      <c r="G156" s="94"/>
      <c r="H156" s="94"/>
      <c r="I156" s="94"/>
      <c r="J156" s="94"/>
      <c r="K156" s="94"/>
      <c r="L156" s="94"/>
      <c r="M156" s="94"/>
      <c r="N156" s="94"/>
      <c r="O156" s="63"/>
      <c r="P156" s="63"/>
      <c r="Q156" s="81"/>
      <c r="R156" s="81"/>
      <c r="S156" s="81"/>
      <c r="T156" s="81"/>
      <c r="U156" s="81"/>
      <c r="V156" s="81"/>
      <c r="W156" s="81"/>
      <c r="X156" s="81"/>
      <c r="Y156" s="81"/>
      <c r="Z156" s="81"/>
      <c r="AA156" s="81"/>
      <c r="AB156" s="81"/>
      <c r="AC156" s="81"/>
      <c r="AD156" s="81"/>
      <c r="AE156" s="81"/>
      <c r="AF156" s="81"/>
      <c r="AG156" s="81"/>
      <c r="AH156" s="81"/>
      <c r="AI156" s="81"/>
      <c r="AJ156" s="81"/>
      <c r="AK156" s="81"/>
      <c r="AL156" s="81"/>
      <c r="AM156" s="81"/>
      <c r="AN156" s="81"/>
      <c r="AO156" s="81"/>
    </row>
    <row r="157" spans="2:41">
      <c r="B157" s="9">
        <v>149</v>
      </c>
      <c r="C157" s="9" t="s">
        <v>404</v>
      </c>
      <c r="D157" s="61" t="s">
        <v>571</v>
      </c>
      <c r="E157" s="290" t="s">
        <v>1609</v>
      </c>
      <c r="F157" s="94"/>
      <c r="G157" s="94"/>
      <c r="H157" s="94"/>
      <c r="I157" s="94"/>
      <c r="J157" s="94"/>
      <c r="K157" s="94"/>
      <c r="L157" s="94"/>
      <c r="M157" s="94"/>
      <c r="N157" s="94"/>
      <c r="O157" s="63"/>
      <c r="P157" s="63"/>
      <c r="Q157" s="81"/>
      <c r="R157" s="81"/>
      <c r="S157" s="81"/>
      <c r="T157" s="81"/>
      <c r="U157" s="81"/>
      <c r="V157" s="81"/>
      <c r="W157" s="81"/>
      <c r="X157" s="81"/>
      <c r="Y157" s="81"/>
      <c r="Z157" s="81"/>
      <c r="AA157" s="81"/>
      <c r="AB157" s="81"/>
      <c r="AC157" s="81"/>
      <c r="AD157" s="81"/>
      <c r="AE157" s="81"/>
      <c r="AF157" s="81"/>
      <c r="AG157" s="81"/>
      <c r="AH157" s="81"/>
      <c r="AI157" s="81"/>
      <c r="AJ157" s="81"/>
      <c r="AK157" s="81"/>
      <c r="AL157" s="81"/>
      <c r="AM157" s="81"/>
      <c r="AN157" s="81"/>
      <c r="AO157" s="81"/>
    </row>
    <row r="158" spans="2:41">
      <c r="B158" s="9">
        <v>150</v>
      </c>
      <c r="C158" s="9" t="s">
        <v>405</v>
      </c>
      <c r="D158" s="61" t="s">
        <v>571</v>
      </c>
      <c r="E158" s="290" t="s">
        <v>1694</v>
      </c>
      <c r="F158" s="94"/>
      <c r="G158" s="94"/>
      <c r="H158" s="94"/>
      <c r="I158" s="94"/>
      <c r="J158" s="94"/>
      <c r="K158" s="94"/>
      <c r="L158" s="94"/>
      <c r="M158" s="94"/>
      <c r="N158" s="94"/>
      <c r="O158" s="63"/>
      <c r="P158" s="63"/>
      <c r="Q158" s="81"/>
      <c r="R158" s="81"/>
      <c r="S158" s="81"/>
      <c r="T158" s="81"/>
      <c r="U158" s="81"/>
      <c r="V158" s="81"/>
      <c r="W158" s="81"/>
      <c r="X158" s="81"/>
      <c r="Y158" s="81"/>
      <c r="Z158" s="81"/>
      <c r="AA158" s="81"/>
      <c r="AB158" s="81"/>
      <c r="AC158" s="81"/>
      <c r="AD158" s="81"/>
      <c r="AE158" s="81"/>
      <c r="AF158" s="81"/>
      <c r="AG158" s="81"/>
      <c r="AH158" s="81"/>
      <c r="AI158" s="81"/>
      <c r="AJ158" s="81"/>
      <c r="AK158" s="81"/>
      <c r="AL158" s="81"/>
      <c r="AM158" s="81"/>
      <c r="AN158" s="81"/>
      <c r="AO158" s="81"/>
    </row>
    <row r="159" spans="2:41">
      <c r="B159" s="9">
        <v>151</v>
      </c>
      <c r="C159" s="9" t="s">
        <v>173</v>
      </c>
      <c r="D159" s="61" t="s">
        <v>571</v>
      </c>
      <c r="E159" s="290" t="s">
        <v>172</v>
      </c>
      <c r="F159" s="63">
        <v>160.40969201659274</v>
      </c>
      <c r="G159" s="101"/>
      <c r="H159" s="101"/>
      <c r="I159" s="101">
        <v>4.0566109328773393E-2</v>
      </c>
      <c r="J159" s="63">
        <v>115.13832241711503</v>
      </c>
      <c r="K159" s="63">
        <v>160.40969201659274</v>
      </c>
      <c r="L159" s="63">
        <v>160.40969201659274</v>
      </c>
      <c r="M159" s="63">
        <v>400.36842392616728</v>
      </c>
      <c r="N159" s="63">
        <v>296.70650211832697</v>
      </c>
      <c r="O159" s="63">
        <f>MIN(K159,L159,M159,N159)</f>
        <v>160.40969201659274</v>
      </c>
      <c r="P159" s="63">
        <f t="shared" si="7"/>
        <v>296.70650211832697</v>
      </c>
      <c r="Q159" s="81"/>
      <c r="R159" s="81"/>
      <c r="S159" s="81"/>
      <c r="T159" s="81"/>
      <c r="U159" s="81"/>
      <c r="V159" s="81"/>
      <c r="W159" s="81"/>
      <c r="X159" s="81"/>
      <c r="Y159" s="81"/>
      <c r="Z159" s="81"/>
      <c r="AA159" s="81"/>
      <c r="AB159" s="81"/>
      <c r="AC159" s="81"/>
      <c r="AD159" s="81"/>
      <c r="AE159" s="81"/>
      <c r="AF159" s="81"/>
      <c r="AG159" s="81"/>
      <c r="AH159" s="81"/>
      <c r="AI159" s="81"/>
      <c r="AJ159" s="81"/>
      <c r="AK159" s="81"/>
      <c r="AL159" s="81"/>
      <c r="AM159" s="81"/>
      <c r="AN159" s="81"/>
      <c r="AO159" s="81"/>
    </row>
    <row r="160" spans="2:41">
      <c r="B160" s="9">
        <v>152</v>
      </c>
      <c r="C160" s="9" t="s">
        <v>149</v>
      </c>
      <c r="D160" s="61">
        <v>3</v>
      </c>
      <c r="E160" s="290" t="s">
        <v>1584</v>
      </c>
      <c r="F160" s="63">
        <v>4.1090305061615764</v>
      </c>
      <c r="G160" s="101"/>
      <c r="H160" s="101"/>
      <c r="I160" s="101">
        <v>1.5190036499368875E-2</v>
      </c>
      <c r="J160" s="63">
        <v>3.6623016108145325</v>
      </c>
      <c r="K160" s="63">
        <v>3.5385245830025518</v>
      </c>
      <c r="L160" s="63">
        <v>4.1090305061615764</v>
      </c>
      <c r="M160" s="63">
        <v>6.7982254334558609</v>
      </c>
      <c r="N160" s="63">
        <v>6.6365259829843328</v>
      </c>
      <c r="O160" s="63">
        <f>MIN(K160,L160,M160,N160)</f>
        <v>3.5385245830025518</v>
      </c>
      <c r="P160" s="63">
        <f t="shared" si="7"/>
        <v>6.6365259829843328</v>
      </c>
      <c r="Q160" s="81"/>
      <c r="R160" s="81"/>
      <c r="S160" s="81"/>
      <c r="T160" s="81"/>
      <c r="U160" s="81"/>
      <c r="V160" s="81"/>
      <c r="W160" s="81"/>
      <c r="X160" s="81"/>
      <c r="Y160" s="81"/>
      <c r="Z160" s="81"/>
      <c r="AA160" s="81"/>
      <c r="AB160" s="81"/>
      <c r="AC160" s="81"/>
      <c r="AD160" s="81"/>
      <c r="AE160" s="81"/>
      <c r="AF160" s="81"/>
      <c r="AG160" s="81"/>
      <c r="AH160" s="81"/>
      <c r="AI160" s="81"/>
      <c r="AJ160" s="81"/>
      <c r="AK160" s="81"/>
      <c r="AL160" s="81"/>
      <c r="AM160" s="81"/>
      <c r="AN160" s="81"/>
      <c r="AO160" s="81"/>
    </row>
    <row r="161" spans="2:41">
      <c r="B161" s="9">
        <v>153</v>
      </c>
      <c r="C161" s="9" t="s">
        <v>177</v>
      </c>
      <c r="D161" s="61" t="s">
        <v>571</v>
      </c>
      <c r="E161" s="290" t="s">
        <v>1588</v>
      </c>
      <c r="F161" s="63">
        <v>7005.9073811037451</v>
      </c>
      <c r="G161" s="63"/>
      <c r="H161" s="63"/>
      <c r="I161" s="63">
        <v>2.4266237141888647</v>
      </c>
      <c r="J161" s="63">
        <v>4801.106174862688</v>
      </c>
      <c r="K161" s="63">
        <v>7005.9073811037451</v>
      </c>
      <c r="L161" s="63">
        <v>7005.9073811037451</v>
      </c>
      <c r="M161" s="63">
        <v>43239.78978402607</v>
      </c>
      <c r="N161" s="63">
        <v>32044.30222877931</v>
      </c>
      <c r="O161" s="63">
        <f>MIN(K161,L161,M161,N161)</f>
        <v>7005.9073811037451</v>
      </c>
      <c r="P161" s="63">
        <f t="shared" si="7"/>
        <v>32044.30222877931</v>
      </c>
      <c r="Q161" s="81"/>
      <c r="R161" s="81"/>
      <c r="S161" s="81"/>
      <c r="T161" s="81"/>
      <c r="U161" s="81"/>
      <c r="V161" s="81"/>
      <c r="W161" s="81"/>
      <c r="X161" s="81"/>
      <c r="Y161" s="81"/>
      <c r="Z161" s="81"/>
      <c r="AA161" s="81"/>
      <c r="AB161" s="81"/>
      <c r="AC161" s="81"/>
      <c r="AD161" s="81"/>
      <c r="AE161" s="81"/>
      <c r="AF161" s="81"/>
      <c r="AG161" s="81"/>
      <c r="AH161" s="81"/>
      <c r="AI161" s="81"/>
      <c r="AJ161" s="81"/>
      <c r="AK161" s="81"/>
      <c r="AL161" s="81"/>
      <c r="AM161" s="81"/>
      <c r="AN161" s="81"/>
      <c r="AO161" s="81"/>
    </row>
    <row r="162" spans="2:41">
      <c r="B162" s="9">
        <v>154</v>
      </c>
      <c r="C162" s="9" t="s">
        <v>150</v>
      </c>
      <c r="D162" s="61" t="s">
        <v>571</v>
      </c>
      <c r="E162" s="290" t="s">
        <v>1598</v>
      </c>
      <c r="F162" s="63"/>
      <c r="G162" s="63"/>
      <c r="H162" s="63"/>
      <c r="I162" s="63"/>
      <c r="J162" s="63"/>
      <c r="K162" s="63"/>
      <c r="L162" s="63"/>
      <c r="M162" s="63"/>
      <c r="N162" s="63"/>
      <c r="O162" s="63"/>
      <c r="P162" s="63"/>
      <c r="Q162" s="81"/>
      <c r="R162" s="81"/>
      <c r="S162" s="81"/>
      <c r="T162" s="81"/>
      <c r="U162" s="81"/>
      <c r="V162" s="81"/>
      <c r="W162" s="81"/>
      <c r="X162" s="81"/>
      <c r="Y162" s="81"/>
      <c r="Z162" s="81"/>
      <c r="AA162" s="81"/>
      <c r="AB162" s="81"/>
      <c r="AC162" s="81"/>
      <c r="AD162" s="81"/>
      <c r="AE162" s="81"/>
      <c r="AF162" s="81"/>
      <c r="AG162" s="81"/>
      <c r="AH162" s="81"/>
      <c r="AI162" s="81"/>
      <c r="AJ162" s="81"/>
      <c r="AK162" s="81"/>
      <c r="AL162" s="81"/>
      <c r="AM162" s="81"/>
      <c r="AN162" s="81"/>
      <c r="AO162" s="81"/>
    </row>
    <row r="163" spans="2:41">
      <c r="B163" s="9">
        <v>155</v>
      </c>
      <c r="C163" s="9" t="s">
        <v>406</v>
      </c>
      <c r="D163" s="61" t="s">
        <v>571</v>
      </c>
      <c r="E163" s="290" t="s">
        <v>1607</v>
      </c>
      <c r="F163" s="63">
        <v>4670.6049207358301</v>
      </c>
      <c r="G163" s="63"/>
      <c r="H163" s="63"/>
      <c r="I163" s="63">
        <v>12.164790134978812</v>
      </c>
      <c r="J163" s="63">
        <v>3200.737449908459</v>
      </c>
      <c r="K163" s="63">
        <v>4670.6049207358301</v>
      </c>
      <c r="L163" s="63">
        <v>4670.6049207358301</v>
      </c>
      <c r="M163" s="63">
        <v>28826.526522684046</v>
      </c>
      <c r="N163" s="63">
        <v>21362.868152519542</v>
      </c>
      <c r="O163" s="63">
        <f>MIN(K163,L163,M163,N163)</f>
        <v>4670.6049207358301</v>
      </c>
      <c r="P163" s="63">
        <f t="shared" si="7"/>
        <v>21362.868152519542</v>
      </c>
      <c r="Q163" s="81"/>
      <c r="R163" s="81"/>
      <c r="S163" s="81"/>
      <c r="T163" s="81"/>
      <c r="U163" s="81"/>
      <c r="V163" s="81"/>
      <c r="W163" s="81"/>
      <c r="X163" s="81"/>
      <c r="Y163" s="81"/>
      <c r="Z163" s="81"/>
      <c r="AA163" s="81"/>
      <c r="AB163" s="81"/>
      <c r="AC163" s="81"/>
      <c r="AD163" s="81"/>
      <c r="AE163" s="81"/>
      <c r="AF163" s="81"/>
      <c r="AG163" s="81"/>
      <c r="AH163" s="81"/>
      <c r="AI163" s="81"/>
      <c r="AJ163" s="81"/>
      <c r="AK163" s="81"/>
      <c r="AL163" s="81"/>
      <c r="AM163" s="81"/>
      <c r="AN163" s="81"/>
      <c r="AO163" s="81"/>
    </row>
    <row r="164" spans="2:41">
      <c r="B164" s="9">
        <v>156</v>
      </c>
      <c r="C164" s="9" t="s">
        <v>151</v>
      </c>
      <c r="D164" s="61" t="s">
        <v>571</v>
      </c>
      <c r="E164" s="290" t="s">
        <v>1608</v>
      </c>
      <c r="F164" s="63"/>
      <c r="G164" s="63"/>
      <c r="H164" s="63"/>
      <c r="I164" s="63"/>
      <c r="J164" s="63"/>
      <c r="K164" s="63"/>
      <c r="L164" s="63"/>
      <c r="M164" s="63"/>
      <c r="N164" s="63"/>
      <c r="O164" s="63"/>
      <c r="P164" s="63"/>
      <c r="Q164" s="81"/>
      <c r="R164" s="81"/>
      <c r="S164" s="81"/>
      <c r="T164" s="81"/>
      <c r="U164" s="81"/>
      <c r="V164" s="81"/>
      <c r="W164" s="81"/>
      <c r="X164" s="81"/>
      <c r="Y164" s="81"/>
      <c r="Z164" s="81"/>
      <c r="AA164" s="81"/>
      <c r="AB164" s="81"/>
      <c r="AC164" s="81"/>
      <c r="AD164" s="81"/>
      <c r="AE164" s="81"/>
      <c r="AF164" s="81"/>
      <c r="AG164" s="81"/>
      <c r="AH164" s="81"/>
      <c r="AI164" s="81"/>
      <c r="AJ164" s="81"/>
      <c r="AK164" s="81"/>
      <c r="AL164" s="81"/>
      <c r="AM164" s="81"/>
      <c r="AN164" s="81"/>
      <c r="AO164" s="81"/>
    </row>
    <row r="165" spans="2:41">
      <c r="B165" s="9">
        <v>157</v>
      </c>
      <c r="C165" s="9" t="s">
        <v>152</v>
      </c>
      <c r="D165" s="61" t="s">
        <v>571</v>
      </c>
      <c r="E165" s="290" t="s">
        <v>1610</v>
      </c>
      <c r="F165" s="63">
        <v>23353.024603679154</v>
      </c>
      <c r="G165" s="63"/>
      <c r="H165" s="63"/>
      <c r="I165" s="63">
        <v>8.068464855554252</v>
      </c>
      <c r="J165" s="63">
        <v>16003.687249542296</v>
      </c>
      <c r="K165" s="63">
        <v>23353.024603679154</v>
      </c>
      <c r="L165" s="63">
        <v>23353.024603679154</v>
      </c>
      <c r="M165" s="63">
        <v>144132.63261342025</v>
      </c>
      <c r="N165" s="63">
        <v>106814.3407625977</v>
      </c>
      <c r="O165" s="63">
        <f>MIN(K165,L165,M165,N165)</f>
        <v>23353.024603679154</v>
      </c>
      <c r="P165" s="63">
        <f t="shared" si="7"/>
        <v>106814.3407625977</v>
      </c>
      <c r="Q165" s="81"/>
      <c r="R165" s="81"/>
      <c r="S165" s="81"/>
      <c r="T165" s="81"/>
      <c r="U165" s="81"/>
      <c r="V165" s="81"/>
      <c r="W165" s="81"/>
      <c r="X165" s="81"/>
      <c r="Y165" s="81"/>
      <c r="Z165" s="81"/>
      <c r="AA165" s="81"/>
      <c r="AB165" s="81"/>
      <c r="AC165" s="81"/>
      <c r="AD165" s="81"/>
      <c r="AE165" s="81"/>
      <c r="AF165" s="81"/>
      <c r="AG165" s="81"/>
      <c r="AH165" s="81"/>
      <c r="AI165" s="81"/>
      <c r="AJ165" s="81"/>
      <c r="AK165" s="81"/>
      <c r="AL165" s="81"/>
      <c r="AM165" s="81"/>
      <c r="AN165" s="81"/>
      <c r="AO165" s="81"/>
    </row>
    <row r="166" spans="2:41">
      <c r="B166" s="9">
        <v>158</v>
      </c>
      <c r="C166" s="9" t="s">
        <v>407</v>
      </c>
      <c r="D166" s="61">
        <v>3</v>
      </c>
      <c r="E166" s="290" t="s">
        <v>1615</v>
      </c>
      <c r="F166" s="63">
        <v>11676.512301839577</v>
      </c>
      <c r="G166" s="63"/>
      <c r="H166" s="63"/>
      <c r="I166" s="63">
        <v>5.652143902650403</v>
      </c>
      <c r="J166" s="63">
        <v>8001.8436247711479</v>
      </c>
      <c r="K166" s="63">
        <v>11676.512301839577</v>
      </c>
      <c r="L166" s="63">
        <v>11676.512301839577</v>
      </c>
      <c r="M166" s="63">
        <v>72066.316306710127</v>
      </c>
      <c r="N166" s="63">
        <v>53407.170381298849</v>
      </c>
      <c r="O166" s="63">
        <f>MIN(K166,L166,M166,N166)</f>
        <v>11676.512301839577</v>
      </c>
      <c r="P166" s="63">
        <f t="shared" si="7"/>
        <v>53407.170381298849</v>
      </c>
      <c r="Q166" s="81"/>
      <c r="R166" s="81"/>
      <c r="S166" s="81"/>
      <c r="T166" s="81"/>
      <c r="U166" s="81"/>
      <c r="V166" s="81"/>
      <c r="W166" s="81"/>
      <c r="X166" s="81"/>
      <c r="Y166" s="81"/>
      <c r="Z166" s="81"/>
      <c r="AA166" s="81"/>
      <c r="AB166" s="81"/>
      <c r="AC166" s="81"/>
      <c r="AD166" s="81"/>
      <c r="AE166" s="81"/>
      <c r="AF166" s="81"/>
      <c r="AG166" s="81"/>
      <c r="AH166" s="81"/>
      <c r="AI166" s="81"/>
      <c r="AJ166" s="81"/>
      <c r="AK166" s="81"/>
      <c r="AL166" s="81"/>
      <c r="AM166" s="81"/>
      <c r="AN166" s="81"/>
      <c r="AO166" s="81"/>
    </row>
    <row r="167" spans="2:41">
      <c r="B167" s="9">
        <v>159</v>
      </c>
      <c r="C167" s="9" t="s">
        <v>171</v>
      </c>
      <c r="D167" s="61" t="s">
        <v>571</v>
      </c>
      <c r="E167" s="290" t="s">
        <v>1616</v>
      </c>
      <c r="F167" s="63">
        <v>2638.8917802157439</v>
      </c>
      <c r="G167" s="63"/>
      <c r="H167" s="63"/>
      <c r="I167" s="63">
        <v>2.3416193199819029</v>
      </c>
      <c r="J167" s="63">
        <v>1808.4166591982791</v>
      </c>
      <c r="K167" s="63">
        <v>2638.8917802157439</v>
      </c>
      <c r="L167" s="63">
        <v>2638.8917802157439</v>
      </c>
      <c r="M167" s="63">
        <v>16286.987485316486</v>
      </c>
      <c r="N167" s="63">
        <v>12070.02050617354</v>
      </c>
      <c r="O167" s="63">
        <f>MIN(K167,L167,M167,N167)</f>
        <v>2638.8917802157439</v>
      </c>
      <c r="P167" s="63">
        <f t="shared" si="7"/>
        <v>12070.02050617354</v>
      </c>
      <c r="Q167" s="81"/>
      <c r="R167" s="81"/>
      <c r="S167" s="81"/>
      <c r="T167" s="81"/>
      <c r="U167" s="81"/>
      <c r="V167" s="81"/>
      <c r="W167" s="81"/>
      <c r="X167" s="81"/>
      <c r="Y167" s="81"/>
      <c r="Z167" s="81"/>
      <c r="AA167" s="81"/>
      <c r="AB167" s="81"/>
      <c r="AC167" s="81"/>
      <c r="AD167" s="81"/>
      <c r="AE167" s="81"/>
      <c r="AF167" s="81"/>
      <c r="AG167" s="81"/>
      <c r="AH167" s="81"/>
      <c r="AI167" s="81"/>
      <c r="AJ167" s="81"/>
      <c r="AK167" s="81"/>
      <c r="AL167" s="81"/>
      <c r="AM167" s="81"/>
      <c r="AN167" s="81"/>
      <c r="AO167" s="81"/>
    </row>
    <row r="168" spans="2:41">
      <c r="B168" s="9">
        <v>160</v>
      </c>
      <c r="C168" s="9" t="s">
        <v>153</v>
      </c>
      <c r="D168" s="61" t="s">
        <v>571</v>
      </c>
      <c r="E168" s="290" t="s">
        <v>1625</v>
      </c>
      <c r="F168" s="63">
        <v>46.238988715284719</v>
      </c>
      <c r="G168" s="101"/>
      <c r="H168" s="101"/>
      <c r="I168" s="101">
        <v>1.5651987792184675E-2</v>
      </c>
      <c r="J168" s="63">
        <v>31.687300754093737</v>
      </c>
      <c r="K168" s="63">
        <v>46.238988715284719</v>
      </c>
      <c r="L168" s="63">
        <v>46.238988715284719</v>
      </c>
      <c r="M168" s="63">
        <v>285.38261257457208</v>
      </c>
      <c r="N168" s="63">
        <v>211.49239470994343</v>
      </c>
      <c r="O168" s="63">
        <f>MIN(K168,L168,M168,N168)</f>
        <v>46.238988715284719</v>
      </c>
      <c r="P168" s="63">
        <f t="shared" si="7"/>
        <v>211.49239470994343</v>
      </c>
      <c r="Q168" s="81"/>
      <c r="R168" s="81"/>
      <c r="S168" s="81"/>
      <c r="T168" s="81"/>
      <c r="U168" s="81"/>
      <c r="V168" s="81"/>
      <c r="W168" s="81"/>
      <c r="X168" s="81"/>
      <c r="Y168" s="81"/>
      <c r="Z168" s="81"/>
      <c r="AA168" s="81"/>
      <c r="AB168" s="81"/>
      <c r="AC168" s="81"/>
      <c r="AD168" s="81"/>
      <c r="AE168" s="81"/>
      <c r="AF168" s="81"/>
      <c r="AG168" s="81"/>
      <c r="AH168" s="81"/>
      <c r="AI168" s="81"/>
      <c r="AJ168" s="81"/>
      <c r="AK168" s="81"/>
      <c r="AL168" s="81"/>
      <c r="AM168" s="81"/>
      <c r="AN168" s="81"/>
      <c r="AO168" s="81"/>
    </row>
    <row r="169" spans="2:41">
      <c r="B169" s="9">
        <v>161</v>
      </c>
      <c r="C169" s="9" t="s">
        <v>408</v>
      </c>
      <c r="D169" s="61" t="s">
        <v>571</v>
      </c>
      <c r="E169" s="290" t="s">
        <v>1630</v>
      </c>
      <c r="F169" s="117"/>
      <c r="G169" s="63"/>
      <c r="H169" s="63"/>
      <c r="I169" s="63"/>
      <c r="J169" s="63"/>
      <c r="K169" s="63"/>
      <c r="L169" s="63"/>
      <c r="M169" s="63"/>
      <c r="N169" s="63"/>
      <c r="O169" s="63"/>
      <c r="P169" s="63"/>
      <c r="Q169" s="81"/>
      <c r="R169" s="81"/>
      <c r="S169" s="81"/>
      <c r="T169" s="81"/>
      <c r="U169" s="81"/>
      <c r="V169" s="81"/>
      <c r="W169" s="81"/>
      <c r="X169" s="81"/>
      <c r="Y169" s="81"/>
      <c r="Z169" s="81"/>
      <c r="AA169" s="81"/>
      <c r="AB169" s="81"/>
      <c r="AC169" s="81"/>
      <c r="AD169" s="81"/>
      <c r="AE169" s="81"/>
      <c r="AF169" s="81"/>
      <c r="AG169" s="81"/>
      <c r="AH169" s="81"/>
      <c r="AI169" s="81"/>
      <c r="AJ169" s="81"/>
      <c r="AK169" s="81"/>
      <c r="AL169" s="81"/>
      <c r="AM169" s="81"/>
      <c r="AN169" s="81"/>
      <c r="AO169" s="81"/>
    </row>
    <row r="170" spans="2:41">
      <c r="B170" s="9">
        <v>162</v>
      </c>
      <c r="C170" s="9" t="s">
        <v>409</v>
      </c>
      <c r="D170" s="61" t="s">
        <v>571</v>
      </c>
      <c r="E170" s="290" t="s">
        <v>1631</v>
      </c>
      <c r="F170" s="63"/>
      <c r="G170" s="63"/>
      <c r="H170" s="63"/>
      <c r="I170" s="63"/>
      <c r="J170" s="63"/>
      <c r="K170" s="63"/>
      <c r="L170" s="63"/>
      <c r="M170" s="63"/>
      <c r="N170" s="63"/>
      <c r="O170" s="63"/>
      <c r="P170" s="63"/>
      <c r="Q170" s="81"/>
      <c r="R170" s="81"/>
      <c r="S170" s="81"/>
      <c r="T170" s="81"/>
      <c r="U170" s="81"/>
      <c r="V170" s="81"/>
      <c r="W170" s="81"/>
      <c r="X170" s="81"/>
      <c r="Y170" s="81"/>
      <c r="Z170" s="81"/>
      <c r="AA170" s="81"/>
      <c r="AB170" s="81"/>
      <c r="AC170" s="81"/>
      <c r="AD170" s="81"/>
      <c r="AE170" s="81"/>
      <c r="AF170" s="81"/>
      <c r="AG170" s="81"/>
      <c r="AH170" s="81"/>
      <c r="AI170" s="81"/>
      <c r="AJ170" s="81"/>
      <c r="AK170" s="81"/>
      <c r="AL170" s="81"/>
      <c r="AM170" s="81"/>
      <c r="AN170" s="81"/>
      <c r="AO170" s="81"/>
    </row>
    <row r="171" spans="2:41">
      <c r="B171" s="9">
        <v>163</v>
      </c>
      <c r="C171" s="9" t="s">
        <v>410</v>
      </c>
      <c r="D171" s="61" t="s">
        <v>571</v>
      </c>
      <c r="E171" s="290" t="s">
        <v>1629</v>
      </c>
      <c r="F171" s="63"/>
      <c r="G171" s="63"/>
      <c r="H171" s="63"/>
      <c r="I171" s="63"/>
      <c r="J171" s="63"/>
      <c r="K171" s="63"/>
      <c r="L171" s="63"/>
      <c r="M171" s="63"/>
      <c r="N171" s="63"/>
      <c r="O171" s="63"/>
      <c r="P171" s="63"/>
      <c r="Q171" s="81"/>
      <c r="R171" s="81"/>
      <c r="S171" s="81"/>
      <c r="T171" s="81"/>
      <c r="U171" s="81"/>
      <c r="V171" s="81"/>
      <c r="W171" s="81"/>
      <c r="X171" s="81"/>
      <c r="Y171" s="81"/>
      <c r="Z171" s="81"/>
      <c r="AA171" s="81"/>
      <c r="AB171" s="81"/>
      <c r="AC171" s="81"/>
      <c r="AD171" s="81"/>
      <c r="AE171" s="81"/>
      <c r="AF171" s="81"/>
      <c r="AG171" s="81"/>
      <c r="AH171" s="81"/>
      <c r="AI171" s="81"/>
      <c r="AJ171" s="81"/>
      <c r="AK171" s="81"/>
      <c r="AL171" s="81"/>
      <c r="AM171" s="81"/>
      <c r="AN171" s="81"/>
      <c r="AO171" s="81"/>
    </row>
    <row r="172" spans="2:41">
      <c r="B172" s="9">
        <v>164</v>
      </c>
      <c r="C172" s="9" t="s">
        <v>178</v>
      </c>
      <c r="D172" s="61" t="s">
        <v>571</v>
      </c>
      <c r="E172" s="290" t="s">
        <v>1637</v>
      </c>
      <c r="F172" s="63">
        <v>7005.9073811037451</v>
      </c>
      <c r="G172" s="63"/>
      <c r="H172" s="63"/>
      <c r="I172" s="63">
        <v>2.3713721413326669</v>
      </c>
      <c r="J172" s="63">
        <v>4801.106174862688</v>
      </c>
      <c r="K172" s="63">
        <v>7005.9073811037451</v>
      </c>
      <c r="L172" s="63">
        <v>7005.9073811037451</v>
      </c>
      <c r="M172" s="63">
        <v>43239.78978402607</v>
      </c>
      <c r="N172" s="63">
        <v>32044.30222877931</v>
      </c>
      <c r="O172" s="63">
        <f>MIN(K172,L172,M172,N172)</f>
        <v>7005.9073811037451</v>
      </c>
      <c r="P172" s="63">
        <f t="shared" si="7"/>
        <v>32044.30222877931</v>
      </c>
      <c r="Q172" s="81"/>
      <c r="R172" s="81"/>
      <c r="S172" s="81"/>
      <c r="T172" s="81"/>
      <c r="U172" s="81"/>
      <c r="V172" s="81"/>
      <c r="W172" s="81"/>
      <c r="X172" s="81"/>
      <c r="Y172" s="81"/>
      <c r="Z172" s="81"/>
      <c r="AA172" s="81"/>
      <c r="AB172" s="81"/>
      <c r="AC172" s="81"/>
      <c r="AD172" s="81"/>
      <c r="AE172" s="81"/>
      <c r="AF172" s="81"/>
      <c r="AG172" s="81"/>
      <c r="AH172" s="81"/>
      <c r="AI172" s="81"/>
      <c r="AJ172" s="81"/>
      <c r="AK172" s="81"/>
      <c r="AL172" s="81"/>
      <c r="AM172" s="81"/>
      <c r="AN172" s="81"/>
      <c r="AO172" s="81"/>
    </row>
    <row r="173" spans="2:41">
      <c r="B173" s="9">
        <v>165</v>
      </c>
      <c r="C173" s="9" t="s">
        <v>154</v>
      </c>
      <c r="D173" s="61" t="s">
        <v>571</v>
      </c>
      <c r="E173" s="290" t="s">
        <v>1161</v>
      </c>
      <c r="F173" s="63"/>
      <c r="G173" s="63"/>
      <c r="H173" s="63"/>
      <c r="I173" s="63"/>
      <c r="J173" s="63"/>
      <c r="K173" s="63"/>
      <c r="L173" s="63"/>
      <c r="M173" s="63"/>
      <c r="N173" s="63"/>
      <c r="O173" s="63"/>
      <c r="P173" s="63"/>
      <c r="Q173" s="81"/>
      <c r="R173" s="81"/>
      <c r="S173" s="81"/>
      <c r="T173" s="81"/>
      <c r="U173" s="81"/>
      <c r="V173" s="81"/>
      <c r="W173" s="81"/>
      <c r="X173" s="81"/>
      <c r="Y173" s="81"/>
      <c r="Z173" s="81"/>
      <c r="AA173" s="81"/>
      <c r="AB173" s="81"/>
      <c r="AC173" s="81"/>
      <c r="AD173" s="81"/>
      <c r="AE173" s="81"/>
      <c r="AF173" s="81"/>
      <c r="AG173" s="81"/>
      <c r="AH173" s="81"/>
      <c r="AI173" s="81"/>
      <c r="AJ173" s="81"/>
      <c r="AK173" s="81"/>
      <c r="AL173" s="81"/>
      <c r="AM173" s="81"/>
      <c r="AN173" s="81"/>
      <c r="AO173" s="81"/>
    </row>
    <row r="174" spans="2:41">
      <c r="B174" s="9">
        <v>166</v>
      </c>
      <c r="C174" s="9" t="s">
        <v>155</v>
      </c>
      <c r="D174" s="61" t="s">
        <v>571</v>
      </c>
      <c r="E174" s="290" t="s">
        <v>1660</v>
      </c>
      <c r="F174" s="63">
        <v>467.06049207358308</v>
      </c>
      <c r="G174" s="63"/>
      <c r="H174" s="63"/>
      <c r="I174" s="63">
        <v>0.45643919050443116</v>
      </c>
      <c r="J174" s="63">
        <v>320.07374499084585</v>
      </c>
      <c r="K174" s="63">
        <v>467.06049207358308</v>
      </c>
      <c r="L174" s="63">
        <v>467.06049207358308</v>
      </c>
      <c r="M174" s="63">
        <v>2882.6526522684048</v>
      </c>
      <c r="N174" s="63">
        <v>2136.2868152519541</v>
      </c>
      <c r="O174" s="63">
        <f>MIN(K174,L174,M174,N174)</f>
        <v>467.06049207358308</v>
      </c>
      <c r="P174" s="63">
        <f t="shared" si="7"/>
        <v>2136.2868152519541</v>
      </c>
      <c r="Q174" s="81"/>
      <c r="R174" s="81"/>
      <c r="S174" s="81"/>
      <c r="T174" s="81"/>
      <c r="U174" s="81"/>
      <c r="V174" s="81"/>
      <c r="W174" s="81"/>
      <c r="X174" s="81"/>
      <c r="Y174" s="81"/>
      <c r="Z174" s="81"/>
      <c r="AA174" s="81"/>
      <c r="AB174" s="81"/>
      <c r="AC174" s="81"/>
      <c r="AD174" s="81"/>
      <c r="AE174" s="81"/>
      <c r="AF174" s="81"/>
      <c r="AG174" s="81"/>
      <c r="AH174" s="81"/>
      <c r="AI174" s="81"/>
      <c r="AJ174" s="81"/>
      <c r="AK174" s="81"/>
      <c r="AL174" s="81"/>
      <c r="AM174" s="81"/>
      <c r="AN174" s="81"/>
      <c r="AO174" s="81"/>
    </row>
    <row r="175" spans="2:41">
      <c r="B175" s="9">
        <v>167</v>
      </c>
      <c r="C175" s="9" t="s">
        <v>156</v>
      </c>
      <c r="D175" s="61" t="s">
        <v>571</v>
      </c>
      <c r="E175" s="290" t="s">
        <v>1670</v>
      </c>
      <c r="F175" s="63">
        <v>16347.117222575407</v>
      </c>
      <c r="G175" s="63"/>
      <c r="H175" s="63"/>
      <c r="I175" s="63">
        <v>9.1651599670876003</v>
      </c>
      <c r="J175" s="63">
        <v>11202.581074679607</v>
      </c>
      <c r="K175" s="63">
        <v>16347.117222575407</v>
      </c>
      <c r="L175" s="63">
        <v>16347.117222575407</v>
      </c>
      <c r="M175" s="63">
        <v>100892.84282939417</v>
      </c>
      <c r="N175" s="63">
        <v>74770.038533818399</v>
      </c>
      <c r="O175" s="63">
        <f>MIN(K175,L175,M175,N175)</f>
        <v>16347.117222575407</v>
      </c>
      <c r="P175" s="63">
        <f t="shared" si="7"/>
        <v>74770.038533818399</v>
      </c>
      <c r="Q175" s="81"/>
      <c r="R175" s="81"/>
      <c r="S175" s="81"/>
      <c r="T175" s="81"/>
      <c r="U175" s="81"/>
      <c r="V175" s="81"/>
      <c r="W175" s="81"/>
      <c r="X175" s="81"/>
      <c r="Y175" s="81"/>
      <c r="Z175" s="81"/>
      <c r="AA175" s="81"/>
      <c r="AB175" s="81"/>
      <c r="AC175" s="81"/>
      <c r="AD175" s="81"/>
      <c r="AE175" s="81"/>
      <c r="AF175" s="81"/>
      <c r="AG175" s="81"/>
      <c r="AH175" s="81"/>
      <c r="AI175" s="81"/>
      <c r="AJ175" s="81"/>
      <c r="AK175" s="81"/>
      <c r="AL175" s="81"/>
      <c r="AM175" s="81"/>
      <c r="AN175" s="81"/>
      <c r="AO175" s="81"/>
    </row>
    <row r="176" spans="2:41" ht="30">
      <c r="B176" s="9">
        <v>168</v>
      </c>
      <c r="C176" s="9" t="s">
        <v>179</v>
      </c>
      <c r="D176" s="61" t="s">
        <v>571</v>
      </c>
      <c r="E176" s="290" t="s">
        <v>1674</v>
      </c>
      <c r="F176" s="63"/>
      <c r="G176" s="63"/>
      <c r="H176" s="63"/>
      <c r="I176" s="63"/>
      <c r="J176" s="63"/>
      <c r="K176" s="63"/>
      <c r="L176" s="63"/>
      <c r="M176" s="63"/>
      <c r="N176" s="63"/>
      <c r="O176" s="63"/>
      <c r="P176" s="63"/>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c r="AO176" s="81"/>
    </row>
    <row r="177" spans="2:41" ht="30">
      <c r="B177" s="9">
        <v>169</v>
      </c>
      <c r="C177" s="9" t="s">
        <v>157</v>
      </c>
      <c r="D177" s="61" t="s">
        <v>571</v>
      </c>
      <c r="E177" s="290" t="s">
        <v>1684</v>
      </c>
      <c r="F177" s="63">
        <v>7706.4981192141213</v>
      </c>
      <c r="G177" s="63"/>
      <c r="H177" s="63"/>
      <c r="I177" s="63">
        <v>2.0398057066306956</v>
      </c>
      <c r="J177" s="63">
        <v>5281.2167923489578</v>
      </c>
      <c r="K177" s="63">
        <v>7706.4981192141213</v>
      </c>
      <c r="L177" s="63">
        <v>7706.4981192141213</v>
      </c>
      <c r="M177" s="63">
        <v>47563.768762428685</v>
      </c>
      <c r="N177" s="63">
        <v>35248.732451657241</v>
      </c>
      <c r="O177" s="63">
        <f>MIN(K177,L177,M177,N177)</f>
        <v>7706.4981192141213</v>
      </c>
      <c r="P177" s="63">
        <f t="shared" si="7"/>
        <v>35248.732451657241</v>
      </c>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c r="AN177" s="81"/>
      <c r="AO177" s="81"/>
    </row>
    <row r="178" spans="2:41">
      <c r="B178" s="9">
        <v>170</v>
      </c>
      <c r="C178" s="9" t="s">
        <v>158</v>
      </c>
      <c r="D178" s="61" t="s">
        <v>571</v>
      </c>
      <c r="E178" s="290" t="s">
        <v>1690</v>
      </c>
      <c r="F178" s="63">
        <v>700.59073811037456</v>
      </c>
      <c r="G178" s="63"/>
      <c r="H178" s="63"/>
      <c r="I178" s="63">
        <v>0.31110547240009945</v>
      </c>
      <c r="J178" s="63">
        <v>480.11061748626878</v>
      </c>
      <c r="K178" s="63">
        <v>700.59073811037456</v>
      </c>
      <c r="L178" s="63">
        <v>700.59073811037456</v>
      </c>
      <c r="M178" s="63">
        <v>4323.978978402607</v>
      </c>
      <c r="N178" s="63">
        <v>3204.4302228779306</v>
      </c>
      <c r="O178" s="63">
        <f>MIN(K178,L178,M178,N178)</f>
        <v>700.59073811037456</v>
      </c>
      <c r="P178" s="63">
        <f t="shared" si="7"/>
        <v>3204.4302228779306</v>
      </c>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row>
    <row r="179" spans="2:41">
      <c r="B179" s="9">
        <v>171</v>
      </c>
      <c r="C179" s="9" t="s">
        <v>159</v>
      </c>
      <c r="D179" s="61" t="s">
        <v>571</v>
      </c>
      <c r="E179" s="290" t="s">
        <v>1693</v>
      </c>
      <c r="F179" s="63">
        <v>467.06049207358308</v>
      </c>
      <c r="G179" s="63"/>
      <c r="H179" s="63"/>
      <c r="I179" s="63">
        <v>0.46470976482626952</v>
      </c>
      <c r="J179" s="63">
        <v>320.07374499084585</v>
      </c>
      <c r="K179" s="63">
        <v>467.06049207358308</v>
      </c>
      <c r="L179" s="63">
        <v>467.06049207358308</v>
      </c>
      <c r="M179" s="63">
        <v>2882.6526522684048</v>
      </c>
      <c r="N179" s="63">
        <v>2136.2868152519541</v>
      </c>
      <c r="O179" s="63">
        <f>MIN(K179,L179,M179,N179)</f>
        <v>467.06049207358308</v>
      </c>
      <c r="P179" s="63">
        <f t="shared" si="7"/>
        <v>2136.2868152519541</v>
      </c>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row>
    <row r="180" spans="2:41">
      <c r="B180" s="9">
        <v>172</v>
      </c>
      <c r="C180" s="9" t="s">
        <v>160</v>
      </c>
      <c r="D180" s="61" t="s">
        <v>571</v>
      </c>
      <c r="E180" s="290" t="s">
        <v>1701</v>
      </c>
      <c r="F180" s="63">
        <v>7005.9073811037451</v>
      </c>
      <c r="G180" s="63"/>
      <c r="H180" s="63"/>
      <c r="I180" s="63">
        <v>1.9315351825712983</v>
      </c>
      <c r="J180" s="63">
        <v>4801.106174862688</v>
      </c>
      <c r="K180" s="63">
        <v>7005.9073811037451</v>
      </c>
      <c r="L180" s="63">
        <v>7005.9073811037451</v>
      </c>
      <c r="M180" s="63">
        <v>43239.78978402607</v>
      </c>
      <c r="N180" s="63">
        <v>32044.30222877931</v>
      </c>
      <c r="O180" s="63">
        <f>MIN(K180,L180,M180,N180)</f>
        <v>7005.9073811037451</v>
      </c>
      <c r="P180" s="63">
        <f t="shared" si="7"/>
        <v>32044.30222877931</v>
      </c>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row>
    <row r="181" spans="2:41" ht="30">
      <c r="B181" s="9">
        <v>173</v>
      </c>
      <c r="C181" s="9" t="s">
        <v>161</v>
      </c>
      <c r="D181" s="61" t="s">
        <v>571</v>
      </c>
      <c r="E181" s="290" t="s">
        <v>1703</v>
      </c>
      <c r="F181" s="63">
        <v>18682.41968294332</v>
      </c>
      <c r="G181" s="63"/>
      <c r="H181" s="63"/>
      <c r="I181" s="63">
        <v>6.8503761939898338</v>
      </c>
      <c r="J181" s="63">
        <v>12802.949799633836</v>
      </c>
      <c r="K181" s="63">
        <v>18682.41968294332</v>
      </c>
      <c r="L181" s="63">
        <v>18682.41968294332</v>
      </c>
      <c r="M181" s="63">
        <v>115306.10609073618</v>
      </c>
      <c r="N181" s="63">
        <v>85451.47261007817</v>
      </c>
      <c r="O181" s="63">
        <f>MIN(K181,L181,M181,N181)</f>
        <v>18682.41968294332</v>
      </c>
      <c r="P181" s="63">
        <f t="shared" si="7"/>
        <v>85451.47261007817</v>
      </c>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row>
    <row r="182" spans="2:41">
      <c r="B182" s="9">
        <v>174</v>
      </c>
      <c r="C182" s="9" t="s">
        <v>162</v>
      </c>
      <c r="D182" s="61" t="s">
        <v>571</v>
      </c>
      <c r="E182" s="290" t="s">
        <v>1704</v>
      </c>
      <c r="F182" s="63"/>
      <c r="G182" s="63"/>
      <c r="H182" s="63"/>
      <c r="I182" s="63"/>
      <c r="J182" s="63"/>
      <c r="K182" s="63"/>
      <c r="L182" s="63"/>
      <c r="M182" s="63"/>
      <c r="N182" s="63"/>
      <c r="O182" s="63"/>
      <c r="P182" s="63"/>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row>
    <row r="183" spans="2:41">
      <c r="B183" s="9">
        <v>175</v>
      </c>
      <c r="C183" s="9" t="s">
        <v>163</v>
      </c>
      <c r="D183" s="61" t="s">
        <v>571</v>
      </c>
      <c r="E183" s="290" t="s">
        <v>1707</v>
      </c>
      <c r="F183" s="63">
        <v>1868.2419682943323</v>
      </c>
      <c r="G183" s="63"/>
      <c r="H183" s="63"/>
      <c r="I183" s="63">
        <v>0.81734114841509053</v>
      </c>
      <c r="J183" s="63">
        <v>1280.2949799633834</v>
      </c>
      <c r="K183" s="63">
        <v>1868.2419682943323</v>
      </c>
      <c r="L183" s="63">
        <v>1868.2419682943323</v>
      </c>
      <c r="M183" s="63">
        <v>11530.610609073619</v>
      </c>
      <c r="N183" s="63">
        <v>8545.1472610078163</v>
      </c>
      <c r="O183" s="63">
        <f>MIN(K183,L183,M183,N183)</f>
        <v>1868.2419682943323</v>
      </c>
      <c r="P183" s="63">
        <f t="shared" si="7"/>
        <v>8545.1472610078163</v>
      </c>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c r="AN183" s="81"/>
      <c r="AO183" s="81"/>
    </row>
    <row r="184" spans="2:41" ht="30">
      <c r="B184" s="9">
        <v>176</v>
      </c>
      <c r="C184" s="94" t="s">
        <v>164</v>
      </c>
      <c r="D184" s="61" t="s">
        <v>571</v>
      </c>
      <c r="E184" s="290" t="s">
        <v>1709</v>
      </c>
      <c r="F184" s="63">
        <v>817.35586112877036</v>
      </c>
      <c r="G184" s="63"/>
      <c r="H184" s="63"/>
      <c r="I184" s="63">
        <v>0.25297501805843886</v>
      </c>
      <c r="J184" s="63">
        <v>560.1290537339803</v>
      </c>
      <c r="K184" s="63">
        <v>817.35586112877036</v>
      </c>
      <c r="L184" s="63">
        <v>817.35586112877036</v>
      </c>
      <c r="M184" s="63">
        <v>5044.6421414697088</v>
      </c>
      <c r="N184" s="63">
        <v>3738.5019266909194</v>
      </c>
      <c r="O184" s="63">
        <f>MIN(K184,L184,M184,N184)</f>
        <v>817.35586112877036</v>
      </c>
      <c r="P184" s="63">
        <f t="shared" si="7"/>
        <v>3738.5019266909194</v>
      </c>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row>
    <row r="185" spans="2:41">
      <c r="B185" s="9">
        <v>177</v>
      </c>
      <c r="C185" s="94" t="s">
        <v>411</v>
      </c>
      <c r="D185" s="61" t="s">
        <v>571</v>
      </c>
      <c r="E185" s="290" t="s">
        <v>1710</v>
      </c>
      <c r="F185" s="63"/>
      <c r="G185" s="63"/>
      <c r="H185" s="63"/>
      <c r="I185" s="63"/>
      <c r="J185" s="63"/>
      <c r="K185" s="63"/>
      <c r="L185" s="63"/>
      <c r="M185" s="63"/>
      <c r="N185" s="63"/>
      <c r="O185" s="63"/>
      <c r="P185" s="63"/>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row>
    <row r="186" spans="2:41">
      <c r="B186" s="9">
        <v>178</v>
      </c>
      <c r="C186" s="94" t="s">
        <v>165</v>
      </c>
      <c r="D186" s="61" t="s">
        <v>571</v>
      </c>
      <c r="E186" s="290" t="s">
        <v>1713</v>
      </c>
      <c r="F186" s="63">
        <v>700.59073811037456</v>
      </c>
      <c r="G186" s="63"/>
      <c r="H186" s="63"/>
      <c r="I186" s="63">
        <v>0.39531418522807871</v>
      </c>
      <c r="J186" s="63">
        <v>480.11061748626878</v>
      </c>
      <c r="K186" s="63">
        <v>700.59073811037456</v>
      </c>
      <c r="L186" s="63">
        <v>700.59073811037456</v>
      </c>
      <c r="M186" s="63">
        <v>4323.978978402607</v>
      </c>
      <c r="N186" s="63">
        <v>3204.4302228779306</v>
      </c>
      <c r="O186" s="63">
        <f t="shared" ref="O186:O191" si="8">MIN(K186,L186,M186,N186)</f>
        <v>700.59073811037456</v>
      </c>
      <c r="P186" s="63">
        <f t="shared" si="7"/>
        <v>3204.4302228779306</v>
      </c>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row>
    <row r="187" spans="2:41">
      <c r="B187" s="9">
        <v>179</v>
      </c>
      <c r="C187" s="94" t="s">
        <v>109</v>
      </c>
      <c r="D187" s="61">
        <v>1</v>
      </c>
      <c r="E187" s="290" t="s">
        <v>1743</v>
      </c>
      <c r="F187" s="234">
        <v>0.32203155324986232</v>
      </c>
      <c r="G187" s="230"/>
      <c r="H187" s="230"/>
      <c r="I187" s="230">
        <v>3.2729454773010071E-2</v>
      </c>
      <c r="J187" s="230">
        <v>7.4295856369880051E-2</v>
      </c>
      <c r="K187" s="230">
        <v>4.2433745915386761E-2</v>
      </c>
      <c r="L187" s="234">
        <v>0.32203155324986232</v>
      </c>
      <c r="M187" s="234">
        <v>0.13084036385374243</v>
      </c>
      <c r="N187" s="234">
        <v>0.13093047725762594</v>
      </c>
      <c r="O187" s="234">
        <f t="shared" si="8"/>
        <v>4.2433745915386761E-2</v>
      </c>
      <c r="P187" s="234">
        <f t="shared" si="7"/>
        <v>0.13084036385374243</v>
      </c>
    </row>
    <row r="188" spans="2:41">
      <c r="B188" s="9">
        <v>180</v>
      </c>
      <c r="C188" s="94" t="s">
        <v>412</v>
      </c>
      <c r="D188" s="61" t="s">
        <v>571</v>
      </c>
      <c r="E188" s="290" t="s">
        <v>1751</v>
      </c>
      <c r="F188" s="63">
        <v>934.12098414716615</v>
      </c>
      <c r="G188" s="63"/>
      <c r="H188" s="63"/>
      <c r="I188" s="63">
        <v>0.53531866416774199</v>
      </c>
      <c r="J188" s="63">
        <v>640.14748998169171</v>
      </c>
      <c r="K188" s="63">
        <v>934.12098414716615</v>
      </c>
      <c r="L188" s="63">
        <v>934.12098414716615</v>
      </c>
      <c r="M188" s="63">
        <v>5765.3053045368097</v>
      </c>
      <c r="N188" s="63">
        <v>4272.5736305039081</v>
      </c>
      <c r="O188" s="63">
        <f t="shared" si="8"/>
        <v>934.12098414716615</v>
      </c>
      <c r="P188" s="63">
        <f t="shared" si="7"/>
        <v>4272.5736305039081</v>
      </c>
    </row>
    <row r="189" spans="2:41">
      <c r="B189" s="9">
        <v>181</v>
      </c>
      <c r="C189" s="9" t="s">
        <v>413</v>
      </c>
      <c r="D189" s="61" t="s">
        <v>571</v>
      </c>
      <c r="E189" s="290" t="s">
        <v>1752</v>
      </c>
      <c r="F189" s="63">
        <v>3035.8931984782894</v>
      </c>
      <c r="G189" s="63"/>
      <c r="H189" s="63"/>
      <c r="I189" s="63">
        <v>3.0036829279116017</v>
      </c>
      <c r="J189" s="63">
        <v>2080.4793424404979</v>
      </c>
      <c r="K189" s="63">
        <v>3035.8931984782894</v>
      </c>
      <c r="L189" s="63">
        <v>3035.8931984782894</v>
      </c>
      <c r="M189" s="63">
        <v>18737.242239744632</v>
      </c>
      <c r="N189" s="63">
        <v>13885.8642991377</v>
      </c>
      <c r="O189" s="63">
        <f t="shared" si="8"/>
        <v>3035.8931984782894</v>
      </c>
      <c r="P189" s="63">
        <f t="shared" si="7"/>
        <v>13885.8642991377</v>
      </c>
    </row>
    <row r="190" spans="2:41">
      <c r="B190" s="9">
        <v>182</v>
      </c>
      <c r="C190" s="9" t="s">
        <v>414</v>
      </c>
      <c r="D190" s="61" t="s">
        <v>571</v>
      </c>
      <c r="E190" s="290" t="s">
        <v>1754</v>
      </c>
      <c r="F190" s="63">
        <v>1167.6512301839575</v>
      </c>
      <c r="G190" s="63"/>
      <c r="H190" s="63"/>
      <c r="I190" s="63">
        <v>0.57059957013381202</v>
      </c>
      <c r="J190" s="63">
        <v>800.18436247711475</v>
      </c>
      <c r="K190" s="63">
        <v>1167.6512301839575</v>
      </c>
      <c r="L190" s="63">
        <v>1167.6512301839575</v>
      </c>
      <c r="M190" s="63">
        <v>7206.6316306710114</v>
      </c>
      <c r="N190" s="63">
        <v>5340.7170381298856</v>
      </c>
      <c r="O190" s="63">
        <f t="shared" si="8"/>
        <v>1167.6512301839575</v>
      </c>
      <c r="P190" s="63">
        <f t="shared" si="7"/>
        <v>5340.7170381298856</v>
      </c>
    </row>
    <row r="191" spans="2:41">
      <c r="B191" s="9">
        <v>183</v>
      </c>
      <c r="C191" s="9" t="s">
        <v>166</v>
      </c>
      <c r="D191" s="61" t="s">
        <v>571</v>
      </c>
      <c r="E191" s="290" t="s">
        <v>1755</v>
      </c>
      <c r="F191" s="63">
        <v>4670.6049207358301</v>
      </c>
      <c r="G191" s="63"/>
      <c r="H191" s="63"/>
      <c r="I191" s="63">
        <v>1.940635788709957</v>
      </c>
      <c r="J191" s="63">
        <v>3200.737449908459</v>
      </c>
      <c r="K191" s="63">
        <v>4670.6049207358301</v>
      </c>
      <c r="L191" s="63">
        <v>4670.6049207358301</v>
      </c>
      <c r="M191" s="63">
        <v>28826.526522684046</v>
      </c>
      <c r="N191" s="63">
        <v>21362.868152519542</v>
      </c>
      <c r="O191" s="63">
        <f t="shared" si="8"/>
        <v>4670.6049207358301</v>
      </c>
      <c r="P191" s="63">
        <f t="shared" si="7"/>
        <v>21362.868152519542</v>
      </c>
    </row>
    <row r="192" spans="2:41">
      <c r="B192" s="9">
        <v>184</v>
      </c>
      <c r="C192" s="9" t="s">
        <v>167</v>
      </c>
      <c r="D192" s="61" t="s">
        <v>571</v>
      </c>
      <c r="E192" s="290" t="s">
        <v>1759</v>
      </c>
      <c r="F192" s="63"/>
      <c r="G192" s="63"/>
      <c r="H192" s="63"/>
      <c r="I192" s="63"/>
      <c r="J192" s="63"/>
      <c r="K192" s="63"/>
      <c r="L192" s="63"/>
      <c r="M192" s="63"/>
      <c r="N192" s="63"/>
      <c r="O192" s="63"/>
      <c r="P192" s="63"/>
    </row>
    <row r="193" spans="2:16">
      <c r="B193" s="9">
        <v>185</v>
      </c>
      <c r="C193" s="9" t="s">
        <v>168</v>
      </c>
      <c r="D193" s="61">
        <v>3</v>
      </c>
      <c r="E193" s="290" t="s">
        <v>1765</v>
      </c>
      <c r="F193" s="63">
        <v>121.43572793913158</v>
      </c>
      <c r="G193" s="63"/>
      <c r="H193" s="63"/>
      <c r="I193" s="63">
        <v>0.11249160421676309</v>
      </c>
      <c r="J193" s="63">
        <v>83.219173697619922</v>
      </c>
      <c r="K193" s="63">
        <v>121.43572793913158</v>
      </c>
      <c r="L193" s="63">
        <v>121.43572793913158</v>
      </c>
      <c r="M193" s="63">
        <v>749.48968958978514</v>
      </c>
      <c r="N193" s="63">
        <v>555.43457196550798</v>
      </c>
      <c r="O193" s="63">
        <f t="shared" ref="O193:O209" si="9">MIN(K193,L193,M193,N193)</f>
        <v>121.43572793913158</v>
      </c>
      <c r="P193" s="63">
        <f t="shared" si="7"/>
        <v>555.43457196550798</v>
      </c>
    </row>
    <row r="194" spans="2:16">
      <c r="B194" s="9">
        <v>186</v>
      </c>
      <c r="C194" s="9" t="s">
        <v>169</v>
      </c>
      <c r="D194" s="61" t="s">
        <v>571</v>
      </c>
      <c r="E194" s="290" t="s">
        <v>1773</v>
      </c>
      <c r="F194" s="63">
        <v>513.7665412809414</v>
      </c>
      <c r="G194" s="63"/>
      <c r="H194" s="63"/>
      <c r="I194" s="63">
        <v>0.51000280423543132</v>
      </c>
      <c r="J194" s="63">
        <v>352.08111948993047</v>
      </c>
      <c r="K194" s="63">
        <v>513.7665412809414</v>
      </c>
      <c r="L194" s="63">
        <v>513.7665412809414</v>
      </c>
      <c r="M194" s="63">
        <v>3170.9179174952455</v>
      </c>
      <c r="N194" s="63">
        <v>2349.9154967771497</v>
      </c>
      <c r="O194" s="63">
        <f t="shared" si="9"/>
        <v>513.7665412809414</v>
      </c>
      <c r="P194" s="63">
        <f t="shared" si="7"/>
        <v>2349.9154967771497</v>
      </c>
    </row>
    <row r="195" spans="2:16">
      <c r="B195" s="9">
        <v>187</v>
      </c>
      <c r="C195" s="9" t="s">
        <v>170</v>
      </c>
      <c r="D195" s="61" t="s">
        <v>571</v>
      </c>
      <c r="E195" s="290" t="s">
        <v>1774</v>
      </c>
      <c r="F195" s="63">
        <v>233.53024603679154</v>
      </c>
      <c r="G195" s="63"/>
      <c r="H195" s="63"/>
      <c r="I195" s="63">
        <v>0.18936232179624066</v>
      </c>
      <c r="J195" s="63">
        <v>160.03687249542293</v>
      </c>
      <c r="K195" s="63">
        <v>233.53024603679154</v>
      </c>
      <c r="L195" s="63">
        <v>233.53024603679154</v>
      </c>
      <c r="M195" s="63">
        <v>1441.3263261342024</v>
      </c>
      <c r="N195" s="63">
        <v>1068.143407625977</v>
      </c>
      <c r="O195" s="63">
        <f t="shared" si="9"/>
        <v>233.53024603679154</v>
      </c>
      <c r="P195" s="63">
        <f t="shared" si="7"/>
        <v>1068.143407625977</v>
      </c>
    </row>
    <row r="196" spans="2:16">
      <c r="B196" s="9">
        <v>188</v>
      </c>
      <c r="C196" s="61" t="s">
        <v>142</v>
      </c>
      <c r="D196" s="61" t="s">
        <v>571</v>
      </c>
      <c r="E196" s="290" t="s">
        <v>1556</v>
      </c>
      <c r="F196" s="63">
        <v>36.776715318568783</v>
      </c>
      <c r="G196" s="101"/>
      <c r="H196" s="101"/>
      <c r="I196" s="101">
        <v>8.7354161261959051E-2</v>
      </c>
      <c r="J196" s="63">
        <v>25.821000638922118</v>
      </c>
      <c r="K196" s="63">
        <v>34.52739271552413</v>
      </c>
      <c r="L196" s="63">
        <v>36.776715318568783</v>
      </c>
      <c r="M196" s="63">
        <v>90.876679698535341</v>
      </c>
      <c r="N196" s="63">
        <v>67.347223572387477</v>
      </c>
      <c r="O196" s="63">
        <f t="shared" si="9"/>
        <v>34.52739271552413</v>
      </c>
      <c r="P196" s="63">
        <f t="shared" si="7"/>
        <v>67.347223572387477</v>
      </c>
    </row>
    <row r="197" spans="2:16">
      <c r="B197" s="9">
        <v>189</v>
      </c>
      <c r="C197" s="61" t="s">
        <v>144</v>
      </c>
      <c r="D197" s="61" t="s">
        <v>571</v>
      </c>
      <c r="E197" s="295" t="s">
        <v>1553</v>
      </c>
      <c r="F197" s="63">
        <v>25.115994224284055</v>
      </c>
      <c r="G197" s="101"/>
      <c r="H197" s="101"/>
      <c r="I197" s="101">
        <v>1.1515066552416842E-2</v>
      </c>
      <c r="J197" s="63">
        <v>16.332303337821841</v>
      </c>
      <c r="K197" s="63">
        <v>20.392046770972527</v>
      </c>
      <c r="L197" s="63">
        <v>25.115994224284055</v>
      </c>
      <c r="M197" s="63">
        <v>60.697185743577712</v>
      </c>
      <c r="N197" s="63">
        <v>44.981693345838003</v>
      </c>
      <c r="O197" s="63">
        <f t="shared" si="9"/>
        <v>20.392046770972527</v>
      </c>
      <c r="P197" s="63">
        <f t="shared" si="7"/>
        <v>44.981693345838003</v>
      </c>
    </row>
    <row r="198" spans="2:16">
      <c r="B198" s="9">
        <v>190</v>
      </c>
      <c r="C198" s="61" t="s">
        <v>145</v>
      </c>
      <c r="D198" s="61" t="s">
        <v>573</v>
      </c>
      <c r="E198" s="290" t="s">
        <v>1554</v>
      </c>
      <c r="F198" s="234">
        <v>26.183830903829019</v>
      </c>
      <c r="G198" s="230"/>
      <c r="H198" s="230"/>
      <c r="I198" s="230">
        <v>6.9119219511789301E-2</v>
      </c>
      <c r="J198" s="234">
        <v>18.143758671975583</v>
      </c>
      <c r="K198" s="234">
        <v>25.801957924037069</v>
      </c>
      <c r="L198" s="234">
        <v>26.183830903829019</v>
      </c>
      <c r="M198" s="234">
        <v>64.80156541162772</v>
      </c>
      <c r="N198" s="234">
        <v>48.13703651336202</v>
      </c>
      <c r="O198" s="234">
        <f t="shared" si="9"/>
        <v>25.801957924037069</v>
      </c>
      <c r="P198" s="234">
        <f t="shared" si="7"/>
        <v>48.13703651336202</v>
      </c>
    </row>
    <row r="199" spans="2:16" ht="30">
      <c r="B199" s="9">
        <v>191</v>
      </c>
      <c r="C199" s="61" t="s">
        <v>146</v>
      </c>
      <c r="D199" s="61" t="s">
        <v>571</v>
      </c>
      <c r="E199" s="295" t="s">
        <v>1590</v>
      </c>
      <c r="F199" s="63">
        <v>3.0857060888023802</v>
      </c>
      <c r="G199" s="101"/>
      <c r="H199" s="101"/>
      <c r="I199" s="101">
        <v>1.030987658621395E-2</v>
      </c>
      <c r="J199" s="63">
        <v>1.1225343320263128</v>
      </c>
      <c r="K199" s="63">
        <v>2.1483899002081772</v>
      </c>
      <c r="L199" s="63">
        <v>3.0857060888023802</v>
      </c>
      <c r="M199" s="63">
        <v>3.965295316847369</v>
      </c>
      <c r="N199" s="63">
        <v>4.2451136205146893</v>
      </c>
      <c r="O199" s="63">
        <f t="shared" si="9"/>
        <v>2.1483899002081772</v>
      </c>
      <c r="P199" s="63">
        <f t="shared" si="7"/>
        <v>3.965295316847369</v>
      </c>
    </row>
    <row r="200" spans="2:16">
      <c r="B200" s="9">
        <v>192</v>
      </c>
      <c r="C200" s="61" t="s">
        <v>181</v>
      </c>
      <c r="D200" s="61" t="s">
        <v>572</v>
      </c>
      <c r="E200" s="290" t="s">
        <v>180</v>
      </c>
      <c r="F200" s="63">
        <v>2335.302460367915</v>
      </c>
      <c r="G200" s="63"/>
      <c r="H200" s="63"/>
      <c r="I200" s="63">
        <v>0.79098496366060445</v>
      </c>
      <c r="J200" s="63">
        <v>1600.3687249542295</v>
      </c>
      <c r="K200" s="63">
        <v>2335.302460367915</v>
      </c>
      <c r="L200" s="63">
        <v>2335.302460367915</v>
      </c>
      <c r="M200" s="63">
        <v>14413.263261342023</v>
      </c>
      <c r="N200" s="63">
        <v>10681.434076259771</v>
      </c>
      <c r="O200" s="63">
        <f t="shared" si="9"/>
        <v>2335.302460367915</v>
      </c>
      <c r="P200" s="63">
        <f t="shared" si="7"/>
        <v>10681.434076259771</v>
      </c>
    </row>
    <row r="201" spans="2:16">
      <c r="B201" s="9">
        <v>193</v>
      </c>
      <c r="C201" s="61" t="s">
        <v>175</v>
      </c>
      <c r="D201" s="61" t="s">
        <v>571</v>
      </c>
      <c r="E201" s="290" t="s">
        <v>1541</v>
      </c>
      <c r="F201" s="63">
        <v>8500.5009557392113</v>
      </c>
      <c r="G201" s="63"/>
      <c r="H201" s="63"/>
      <c r="I201" s="63">
        <v>2.8905756563744105</v>
      </c>
      <c r="J201" s="63">
        <v>5825.3421588333949</v>
      </c>
      <c r="K201" s="63">
        <v>8500.5009557392113</v>
      </c>
      <c r="L201" s="63">
        <v>8500.5009557392113</v>
      </c>
      <c r="M201" s="63">
        <v>52464.278271284973</v>
      </c>
      <c r="N201" s="63">
        <v>38880.420037585565</v>
      </c>
      <c r="O201" s="63">
        <f t="shared" si="9"/>
        <v>8500.5009557392113</v>
      </c>
      <c r="P201" s="63">
        <f t="shared" si="7"/>
        <v>38880.420037585565</v>
      </c>
    </row>
    <row r="202" spans="2:16">
      <c r="B202" s="9">
        <v>194</v>
      </c>
      <c r="C202" s="61" t="s">
        <v>182</v>
      </c>
      <c r="D202" s="61" t="s">
        <v>571</v>
      </c>
      <c r="E202" s="290" t="s">
        <v>1696</v>
      </c>
      <c r="F202" s="63">
        <v>116.76512301839577</v>
      </c>
      <c r="G202" s="101"/>
      <c r="H202" s="101"/>
      <c r="I202" s="101">
        <v>3.9860335215461E-2</v>
      </c>
      <c r="J202" s="63">
        <v>80.018436247711463</v>
      </c>
      <c r="K202" s="63">
        <v>116.76512301839577</v>
      </c>
      <c r="L202" s="63">
        <v>116.76512301839577</v>
      </c>
      <c r="M202" s="63">
        <v>720.66316306710121</v>
      </c>
      <c r="N202" s="63">
        <v>534.07170381298852</v>
      </c>
      <c r="O202" s="63">
        <f t="shared" si="9"/>
        <v>116.76512301839577</v>
      </c>
      <c r="P202" s="63">
        <f t="shared" ref="P202:P213" si="10">MIN(M202,N202)</f>
        <v>534.07170381298852</v>
      </c>
    </row>
    <row r="203" spans="2:16">
      <c r="B203" s="9">
        <v>195</v>
      </c>
      <c r="C203" s="61" t="s">
        <v>183</v>
      </c>
      <c r="D203" s="61" t="s">
        <v>571</v>
      </c>
      <c r="E203" s="290" t="s">
        <v>1698</v>
      </c>
      <c r="F203" s="63">
        <v>233.53024603679154</v>
      </c>
      <c r="G203" s="101"/>
      <c r="H203" s="101"/>
      <c r="I203" s="101">
        <v>7.9134186443665572E-2</v>
      </c>
      <c r="J203" s="63">
        <v>160.03687249542293</v>
      </c>
      <c r="K203" s="63">
        <v>233.53024603679154</v>
      </c>
      <c r="L203" s="63">
        <v>233.53024603679154</v>
      </c>
      <c r="M203" s="63">
        <v>1441.3263261342024</v>
      </c>
      <c r="N203" s="63">
        <v>1068.143407625977</v>
      </c>
      <c r="O203" s="63">
        <f t="shared" si="9"/>
        <v>233.53024603679154</v>
      </c>
      <c r="P203" s="63">
        <f t="shared" si="10"/>
        <v>1068.143407625977</v>
      </c>
    </row>
    <row r="204" spans="2:16">
      <c r="B204" s="9">
        <v>196</v>
      </c>
      <c r="C204" s="61" t="s">
        <v>148</v>
      </c>
      <c r="D204" s="61" t="s">
        <v>573</v>
      </c>
      <c r="E204" s="290" t="s">
        <v>1634</v>
      </c>
      <c r="F204" s="234">
        <v>45.956772893197964</v>
      </c>
      <c r="G204" s="230"/>
      <c r="H204" s="230"/>
      <c r="I204" s="230">
        <v>1.5904290805204432E-2</v>
      </c>
      <c r="J204" s="234">
        <v>3.8544544913479375</v>
      </c>
      <c r="K204" s="234">
        <v>43.387082684591199</v>
      </c>
      <c r="L204" s="234">
        <v>45.956772893197964</v>
      </c>
      <c r="M204" s="234">
        <v>167.01976114119344</v>
      </c>
      <c r="N204" s="234">
        <v>185.78211422887054</v>
      </c>
      <c r="O204" s="234">
        <f t="shared" si="9"/>
        <v>43.387082684591199</v>
      </c>
      <c r="P204" s="234">
        <f t="shared" si="10"/>
        <v>167.01976114119344</v>
      </c>
    </row>
    <row r="205" spans="2:16">
      <c r="B205" s="9">
        <v>197</v>
      </c>
      <c r="C205" s="61" t="s">
        <v>415</v>
      </c>
      <c r="D205" s="61" t="s">
        <v>571</v>
      </c>
      <c r="E205" s="290" t="s">
        <v>1682</v>
      </c>
      <c r="F205" s="234">
        <v>15688.206427578925</v>
      </c>
      <c r="G205" s="231"/>
      <c r="H205" s="231"/>
      <c r="I205" s="234">
        <v>3.8660191734483611</v>
      </c>
      <c r="J205" s="234">
        <v>4.3479555175150715</v>
      </c>
      <c r="K205" s="234">
        <v>76.994641675642853</v>
      </c>
      <c r="L205" s="234">
        <v>15688.206427578925</v>
      </c>
      <c r="M205" s="234">
        <v>18.143278214937101</v>
      </c>
      <c r="N205" s="234">
        <v>58.835322470235987</v>
      </c>
      <c r="O205" s="234">
        <f t="shared" si="9"/>
        <v>18.143278214937101</v>
      </c>
      <c r="P205" s="234">
        <f t="shared" si="10"/>
        <v>18.143278214937101</v>
      </c>
    </row>
    <row r="206" spans="2:16">
      <c r="B206" s="9">
        <v>198</v>
      </c>
      <c r="C206" s="61" t="s">
        <v>193</v>
      </c>
      <c r="D206" s="61" t="s">
        <v>572</v>
      </c>
      <c r="E206" s="290" t="s">
        <v>1501</v>
      </c>
      <c r="F206" s="63">
        <v>7.1639099510883026</v>
      </c>
      <c r="G206" s="94"/>
      <c r="H206" s="94"/>
      <c r="I206" s="98">
        <v>6.3818901555875085E-3</v>
      </c>
      <c r="J206" s="98">
        <v>4.9320299730109457E-2</v>
      </c>
      <c r="K206" s="63">
        <v>1.2994611184852869</v>
      </c>
      <c r="L206" s="63">
        <v>7.1639099510883026</v>
      </c>
      <c r="M206" s="63">
        <v>0.32174582712797967</v>
      </c>
      <c r="N206" s="63">
        <v>1.0246275273898899</v>
      </c>
      <c r="O206" s="63">
        <f t="shared" si="9"/>
        <v>0.32174582712797967</v>
      </c>
      <c r="P206" s="63">
        <f t="shared" si="10"/>
        <v>0.32174582712797967</v>
      </c>
    </row>
    <row r="207" spans="2:16">
      <c r="B207" s="9">
        <v>199</v>
      </c>
      <c r="C207" s="61" t="s">
        <v>194</v>
      </c>
      <c r="D207" s="61" t="s">
        <v>572</v>
      </c>
      <c r="E207" s="290" t="s">
        <v>1507</v>
      </c>
      <c r="F207" s="63">
        <v>934.12098414716615</v>
      </c>
      <c r="G207" s="94"/>
      <c r="H207" s="94"/>
      <c r="I207" s="101">
        <v>0.43157284636732673</v>
      </c>
      <c r="J207" s="63">
        <v>640.14748998169171</v>
      </c>
      <c r="K207" s="63">
        <v>934.12098414716615</v>
      </c>
      <c r="L207" s="63">
        <v>934.12098414716615</v>
      </c>
      <c r="M207" s="63">
        <v>5765.3053045368097</v>
      </c>
      <c r="N207" s="63">
        <v>4272.5736305039081</v>
      </c>
      <c r="O207" s="63">
        <f t="shared" si="9"/>
        <v>934.12098414716615</v>
      </c>
      <c r="P207" s="63">
        <f t="shared" si="10"/>
        <v>4272.5736305039081</v>
      </c>
    </row>
    <row r="208" spans="2:16">
      <c r="B208" s="9">
        <v>200</v>
      </c>
      <c r="C208" s="61" t="s">
        <v>147</v>
      </c>
      <c r="D208" s="61" t="s">
        <v>571</v>
      </c>
      <c r="E208" s="290" t="s">
        <v>1658</v>
      </c>
      <c r="F208" s="63">
        <v>9.2117861140482713</v>
      </c>
      <c r="G208" s="94"/>
      <c r="H208" s="94"/>
      <c r="I208" s="111">
        <v>6.9649118417572644E-3</v>
      </c>
      <c r="J208" s="63">
        <v>3.1455572252945139</v>
      </c>
      <c r="K208" s="63">
        <v>8.8052002061220556</v>
      </c>
      <c r="L208" s="63">
        <v>9.2117861140482713</v>
      </c>
      <c r="M208" s="63">
        <v>17.948293812673739</v>
      </c>
      <c r="N208" s="63">
        <v>28.28787054035897</v>
      </c>
      <c r="O208" s="63">
        <f t="shared" si="9"/>
        <v>8.8052002061220556</v>
      </c>
      <c r="P208" s="63">
        <f t="shared" si="10"/>
        <v>17.948293812673739</v>
      </c>
    </row>
    <row r="209" spans="2:16">
      <c r="B209" s="9">
        <v>201</v>
      </c>
      <c r="C209" s="61" t="s">
        <v>65</v>
      </c>
      <c r="D209" s="61">
        <v>3</v>
      </c>
      <c r="E209" s="290" t="s">
        <v>1603</v>
      </c>
      <c r="F209" s="63">
        <v>38.545680415379913</v>
      </c>
      <c r="G209" s="94"/>
      <c r="H209" s="94"/>
      <c r="I209" s="101">
        <v>0.11486295712545876</v>
      </c>
      <c r="J209" s="101">
        <v>0.15860042002663083</v>
      </c>
      <c r="K209" s="63">
        <v>4.495740280195756</v>
      </c>
      <c r="L209" s="63">
        <v>38.545680415379913</v>
      </c>
      <c r="M209" s="63">
        <v>0.66752818193731145</v>
      </c>
      <c r="N209" s="63">
        <v>2.2618226085257591</v>
      </c>
      <c r="O209" s="63">
        <f t="shared" si="9"/>
        <v>0.66752818193731145</v>
      </c>
      <c r="P209" s="63">
        <f t="shared" si="10"/>
        <v>0.66752818193731145</v>
      </c>
    </row>
    <row r="210" spans="2:16">
      <c r="B210" s="9">
        <v>202</v>
      </c>
      <c r="C210" s="61" t="s">
        <v>416</v>
      </c>
      <c r="D210" s="61" t="s">
        <v>571</v>
      </c>
      <c r="E210" s="291" t="s">
        <v>1720</v>
      </c>
      <c r="F210" s="94"/>
      <c r="G210" s="94"/>
      <c r="H210" s="94"/>
      <c r="I210" s="94"/>
      <c r="J210" s="94"/>
      <c r="K210" s="94"/>
      <c r="L210" s="94"/>
      <c r="M210" s="94"/>
      <c r="N210" s="94"/>
      <c r="O210" s="94"/>
      <c r="P210" s="94"/>
    </row>
    <row r="211" spans="2:16">
      <c r="B211" s="9">
        <v>203</v>
      </c>
      <c r="C211" s="61" t="s">
        <v>59</v>
      </c>
      <c r="D211" s="61" t="s">
        <v>571</v>
      </c>
      <c r="E211" s="290" t="s">
        <v>1563</v>
      </c>
      <c r="F211" s="100">
        <v>210177.22143311237</v>
      </c>
      <c r="G211" s="94"/>
      <c r="H211" s="94"/>
      <c r="I211" s="63">
        <v>60.372940850855791</v>
      </c>
      <c r="J211" s="100">
        <v>144033.18524588065</v>
      </c>
      <c r="K211" s="100">
        <v>210177.22143311237</v>
      </c>
      <c r="L211" s="100">
        <v>210177.22143311237</v>
      </c>
      <c r="M211" s="100">
        <v>1000000</v>
      </c>
      <c r="N211" s="100">
        <v>961329.06686337932</v>
      </c>
      <c r="O211" s="63">
        <f>MIN(K211,L211,M211,N211)</f>
        <v>210177.22143311237</v>
      </c>
      <c r="P211" s="63">
        <f t="shared" si="10"/>
        <v>961329.06686337932</v>
      </c>
    </row>
    <row r="212" spans="2:16">
      <c r="B212" s="9">
        <v>204</v>
      </c>
      <c r="C212" s="61" t="s">
        <v>75</v>
      </c>
      <c r="D212" s="61" t="s">
        <v>571</v>
      </c>
      <c r="E212" s="290" t="s">
        <v>1639</v>
      </c>
      <c r="F212" s="100">
        <v>46706.049207358308</v>
      </c>
      <c r="G212" s="94"/>
      <c r="H212" s="94"/>
      <c r="I212" s="63">
        <v>12.919465629115795</v>
      </c>
      <c r="J212" s="100">
        <v>32007.374499084592</v>
      </c>
      <c r="K212" s="100">
        <v>46706.049207358308</v>
      </c>
      <c r="L212" s="100">
        <v>46706.049207358308</v>
      </c>
      <c r="M212" s="100">
        <v>288265.26522684051</v>
      </c>
      <c r="N212" s="100">
        <v>213628.6815251954</v>
      </c>
      <c r="O212" s="63">
        <f>MIN(K212,L212,M212,N212)</f>
        <v>46706.049207358308</v>
      </c>
      <c r="P212" s="63">
        <f t="shared" si="10"/>
        <v>213628.6815251954</v>
      </c>
    </row>
    <row r="213" spans="2:16">
      <c r="B213" s="9">
        <v>205</v>
      </c>
      <c r="C213" s="61" t="s">
        <v>337</v>
      </c>
      <c r="D213" s="61" t="s">
        <v>573</v>
      </c>
      <c r="E213" s="290" t="s">
        <v>1663</v>
      </c>
      <c r="F213" s="233">
        <v>29.444183487625008</v>
      </c>
      <c r="G213" s="231"/>
      <c r="H213" s="231"/>
      <c r="I213" s="234">
        <v>6.4244772163396177E-2</v>
      </c>
      <c r="J213" s="233">
        <v>0.97682548005199099</v>
      </c>
      <c r="K213" s="233">
        <v>20.97925715645086</v>
      </c>
      <c r="L213" s="233">
        <v>29.444183487625008</v>
      </c>
      <c r="M213" s="233">
        <v>6.3174256485268288</v>
      </c>
      <c r="N213" s="233">
        <v>19.187451130499593</v>
      </c>
      <c r="O213" s="234">
        <f>MIN(K213,L213,M213,N213)</f>
        <v>6.3174256485268288</v>
      </c>
      <c r="P213" s="234">
        <f t="shared" si="10"/>
        <v>6.3174256485268288</v>
      </c>
    </row>
    <row r="214" spans="2:16" s="81" customFormat="1">
      <c r="B214" s="9">
        <v>206</v>
      </c>
      <c r="C214" s="61" t="s">
        <v>417</v>
      </c>
      <c r="D214" s="61" t="s">
        <v>571</v>
      </c>
      <c r="E214" s="291" t="s">
        <v>1772</v>
      </c>
      <c r="F214" s="94"/>
      <c r="G214" s="94"/>
      <c r="H214" s="94"/>
      <c r="I214" s="94"/>
      <c r="J214" s="94"/>
      <c r="K214" s="94"/>
      <c r="L214" s="94"/>
      <c r="M214" s="94"/>
      <c r="N214" s="94"/>
      <c r="O214" s="63"/>
      <c r="P214" s="63"/>
    </row>
    <row r="215" spans="2:16">
      <c r="B215" s="9">
        <v>207</v>
      </c>
      <c r="C215" s="9" t="s">
        <v>418</v>
      </c>
      <c r="D215" s="61" t="s">
        <v>571</v>
      </c>
      <c r="E215" s="291" t="s">
        <v>1470</v>
      </c>
      <c r="F215" s="63">
        <v>65.486023897816395</v>
      </c>
      <c r="G215" s="63"/>
      <c r="H215" s="63"/>
      <c r="I215" s="63">
        <v>0.10884036196303516</v>
      </c>
      <c r="J215" s="63">
        <v>22.827354031591497</v>
      </c>
      <c r="K215" s="63">
        <v>15.935933663008324</v>
      </c>
      <c r="L215" s="63">
        <v>65.486023897816395</v>
      </c>
      <c r="M215" s="63">
        <v>74.629191259978427</v>
      </c>
      <c r="N215" s="63">
        <v>71.475550217756549</v>
      </c>
      <c r="O215" s="63">
        <f t="shared" ref="O215:O233" si="11">MIN(K215,L215,M215,N215)</f>
        <v>15.935933663008324</v>
      </c>
      <c r="P215" s="63">
        <f t="shared" ref="P215:P248" si="12">MIN(M215,N215)</f>
        <v>71.475550217756549</v>
      </c>
    </row>
    <row r="216" spans="2:16">
      <c r="B216" s="9">
        <v>208</v>
      </c>
      <c r="C216" s="9" t="s">
        <v>419</v>
      </c>
      <c r="D216" s="61" t="s">
        <v>571</v>
      </c>
      <c r="E216" s="291" t="s">
        <v>1678</v>
      </c>
      <c r="F216" s="100">
        <v>1000000</v>
      </c>
      <c r="G216" s="100"/>
      <c r="H216" s="100"/>
      <c r="I216" s="100">
        <v>1000000</v>
      </c>
      <c r="J216" s="100">
        <v>1000000</v>
      </c>
      <c r="K216" s="100">
        <v>1000000</v>
      </c>
      <c r="L216" s="100">
        <v>1000000</v>
      </c>
      <c r="M216" s="100">
        <v>1000000</v>
      </c>
      <c r="N216" s="100">
        <v>1000000</v>
      </c>
      <c r="O216" s="63">
        <f t="shared" si="11"/>
        <v>1000000</v>
      </c>
      <c r="P216" s="63">
        <f t="shared" si="12"/>
        <v>1000000</v>
      </c>
    </row>
    <row r="217" spans="2:16">
      <c r="B217" s="9">
        <v>209</v>
      </c>
      <c r="C217" s="9" t="s">
        <v>420</v>
      </c>
      <c r="D217" s="61" t="s">
        <v>571</v>
      </c>
      <c r="E217" s="291" t="s">
        <v>1632</v>
      </c>
      <c r="F217" s="100">
        <v>1000000</v>
      </c>
      <c r="G217" s="63"/>
      <c r="H217" s="63"/>
      <c r="I217" s="100">
        <v>390</v>
      </c>
      <c r="J217" s="100">
        <v>1000000</v>
      </c>
      <c r="K217" s="100">
        <v>1000000</v>
      </c>
      <c r="L217" s="100">
        <v>1000000</v>
      </c>
      <c r="M217" s="100">
        <v>1000000</v>
      </c>
      <c r="N217" s="100">
        <v>1000000</v>
      </c>
      <c r="O217" s="63">
        <f t="shared" si="11"/>
        <v>1000000</v>
      </c>
      <c r="P217" s="63">
        <f t="shared" si="12"/>
        <v>1000000</v>
      </c>
    </row>
    <row r="218" spans="2:16">
      <c r="B218" s="9">
        <v>210</v>
      </c>
      <c r="C218" s="9" t="s">
        <v>421</v>
      </c>
      <c r="D218" s="61" t="s">
        <v>571</v>
      </c>
      <c r="E218" s="291" t="s">
        <v>1753</v>
      </c>
      <c r="F218" s="100">
        <v>1000000</v>
      </c>
      <c r="G218" s="63"/>
      <c r="H218" s="63"/>
      <c r="I218" s="100">
        <v>694</v>
      </c>
      <c r="J218" s="100">
        <v>1000000</v>
      </c>
      <c r="K218" s="100">
        <v>1000000</v>
      </c>
      <c r="L218" s="100">
        <v>1000000</v>
      </c>
      <c r="M218" s="100">
        <v>1000000</v>
      </c>
      <c r="N218" s="100">
        <v>1000000</v>
      </c>
      <c r="O218" s="63">
        <f t="shared" si="11"/>
        <v>1000000</v>
      </c>
      <c r="P218" s="63">
        <f t="shared" si="12"/>
        <v>1000000</v>
      </c>
    </row>
    <row r="219" spans="2:16">
      <c r="B219" s="9">
        <v>211</v>
      </c>
      <c r="C219" s="9" t="s">
        <v>422</v>
      </c>
      <c r="D219" s="61" t="s">
        <v>571</v>
      </c>
      <c r="E219" s="291" t="s">
        <v>1478</v>
      </c>
      <c r="F219" s="100">
        <v>77018.649469428274</v>
      </c>
      <c r="G219" s="63"/>
      <c r="H219" s="63"/>
      <c r="I219" s="63">
        <v>6.9405917310745977</v>
      </c>
      <c r="J219" s="100">
        <v>52257.200403827344</v>
      </c>
      <c r="K219" s="100">
        <v>76997.08905023626</v>
      </c>
      <c r="L219" s="100">
        <v>77018.649469428274</v>
      </c>
      <c r="M219" s="100">
        <v>471906.49008550192</v>
      </c>
      <c r="N219" s="100">
        <v>350187.07193839754</v>
      </c>
      <c r="O219" s="63">
        <f t="shared" si="11"/>
        <v>76997.08905023626</v>
      </c>
      <c r="P219" s="63">
        <f t="shared" si="12"/>
        <v>350187.07193839754</v>
      </c>
    </row>
    <row r="220" spans="2:16">
      <c r="B220" s="9">
        <v>212</v>
      </c>
      <c r="C220" s="9" t="s">
        <v>423</v>
      </c>
      <c r="D220" s="61" t="s">
        <v>571</v>
      </c>
      <c r="E220" s="291" t="s">
        <v>1782</v>
      </c>
      <c r="F220" s="63"/>
      <c r="G220" s="63"/>
      <c r="H220" s="63"/>
      <c r="I220" s="63"/>
      <c r="J220" s="63"/>
      <c r="K220" s="63"/>
      <c r="L220" s="63"/>
      <c r="M220" s="63"/>
      <c r="N220" s="63"/>
      <c r="O220" s="63"/>
      <c r="P220" s="63"/>
    </row>
    <row r="221" spans="2:16">
      <c r="B221" s="9">
        <v>213</v>
      </c>
      <c r="C221" s="9" t="s">
        <v>424</v>
      </c>
      <c r="D221" s="61" t="s">
        <v>571</v>
      </c>
      <c r="E221" s="291" t="s">
        <v>1648</v>
      </c>
      <c r="F221" s="63"/>
      <c r="G221" s="63"/>
      <c r="H221" s="63"/>
      <c r="I221" s="63"/>
      <c r="J221" s="63"/>
      <c r="K221" s="63"/>
      <c r="L221" s="63"/>
      <c r="M221" s="63"/>
      <c r="N221" s="63"/>
      <c r="O221" s="63"/>
      <c r="P221" s="63"/>
    </row>
    <row r="222" spans="2:16">
      <c r="B222" s="9">
        <v>214</v>
      </c>
      <c r="C222" s="9" t="s">
        <v>425</v>
      </c>
      <c r="D222" s="61" t="s">
        <v>571</v>
      </c>
      <c r="E222" s="291" t="s">
        <v>1559</v>
      </c>
      <c r="F222" s="100">
        <v>7005.9073811037451</v>
      </c>
      <c r="G222" s="100"/>
      <c r="H222" s="100"/>
      <c r="I222" s="100">
        <v>36.142788967575534</v>
      </c>
      <c r="J222" s="100">
        <v>4801.106174862688</v>
      </c>
      <c r="K222" s="100">
        <v>7005.9073811037451</v>
      </c>
      <c r="L222" s="100">
        <v>7005.9073811037451</v>
      </c>
      <c r="M222" s="100">
        <v>43239.78978402607</v>
      </c>
      <c r="N222" s="100">
        <v>32044.30222877931</v>
      </c>
      <c r="O222" s="63">
        <f t="shared" si="11"/>
        <v>7005.9073811037451</v>
      </c>
      <c r="P222" s="63">
        <f t="shared" si="12"/>
        <v>32044.30222877931</v>
      </c>
    </row>
    <row r="223" spans="2:16" ht="30">
      <c r="B223" s="9">
        <v>215</v>
      </c>
      <c r="C223" s="61" t="s">
        <v>426</v>
      </c>
      <c r="D223" s="61" t="s">
        <v>571</v>
      </c>
      <c r="E223" s="290" t="s">
        <v>1564</v>
      </c>
      <c r="F223" s="100">
        <v>840.7088857324494</v>
      </c>
      <c r="G223" s="94"/>
      <c r="H223" s="100"/>
      <c r="I223" s="63">
        <v>1.4861484011196651</v>
      </c>
      <c r="J223" s="100">
        <v>576.13274098352258</v>
      </c>
      <c r="K223" s="100">
        <v>840.7088857324494</v>
      </c>
      <c r="L223" s="100">
        <v>840.7088857324494</v>
      </c>
      <c r="M223" s="100">
        <v>5188.7747740831282</v>
      </c>
      <c r="N223" s="100">
        <v>3845.316267453517</v>
      </c>
      <c r="O223" s="100">
        <f t="shared" si="11"/>
        <v>840.7088857324494</v>
      </c>
      <c r="P223" s="100">
        <f t="shared" si="12"/>
        <v>3845.316267453517</v>
      </c>
    </row>
    <row r="224" spans="2:16">
      <c r="B224" s="9">
        <v>216</v>
      </c>
      <c r="C224" s="61" t="s">
        <v>427</v>
      </c>
      <c r="D224" s="61" t="s">
        <v>571</v>
      </c>
      <c r="E224" s="290" t="s">
        <v>1656</v>
      </c>
      <c r="F224" s="100">
        <v>467.06049207358308</v>
      </c>
      <c r="G224" s="94"/>
      <c r="H224" s="100"/>
      <c r="I224" s="100">
        <v>302.82846298938591</v>
      </c>
      <c r="J224" s="100">
        <v>320.07374499084585</v>
      </c>
      <c r="K224" s="100">
        <v>467.06049207358308</v>
      </c>
      <c r="L224" s="100">
        <v>467.06049207358308</v>
      </c>
      <c r="M224" s="100">
        <v>2882.6526522684048</v>
      </c>
      <c r="N224" s="100">
        <v>2136.2868152519541</v>
      </c>
      <c r="O224" s="100">
        <f t="shared" si="11"/>
        <v>467.06049207358308</v>
      </c>
      <c r="P224" s="100">
        <f t="shared" si="12"/>
        <v>2136.2868152519541</v>
      </c>
    </row>
    <row r="225" spans="2:16">
      <c r="B225" s="9">
        <v>217</v>
      </c>
      <c r="C225" s="61" t="s">
        <v>428</v>
      </c>
      <c r="D225" s="61" t="s">
        <v>571</v>
      </c>
      <c r="E225" s="290" t="s">
        <v>1657</v>
      </c>
      <c r="F225" s="100">
        <v>467.06049207358308</v>
      </c>
      <c r="G225" s="94"/>
      <c r="H225" s="100"/>
      <c r="I225" s="100">
        <v>302.82846298938591</v>
      </c>
      <c r="J225" s="100">
        <v>320.07374499084585</v>
      </c>
      <c r="K225" s="100">
        <v>467.06049207358308</v>
      </c>
      <c r="L225" s="100">
        <v>467.06049207358308</v>
      </c>
      <c r="M225" s="100">
        <v>2882.6526522684048</v>
      </c>
      <c r="N225" s="100">
        <v>2136.2868152519541</v>
      </c>
      <c r="O225" s="100">
        <f t="shared" si="11"/>
        <v>467.06049207358308</v>
      </c>
      <c r="P225" s="100">
        <f t="shared" si="12"/>
        <v>2136.2868152519541</v>
      </c>
    </row>
    <row r="226" spans="2:16">
      <c r="B226" s="9">
        <v>218</v>
      </c>
      <c r="C226" s="61" t="s">
        <v>429</v>
      </c>
      <c r="D226" s="61" t="s">
        <v>571</v>
      </c>
      <c r="E226" s="290" t="s">
        <v>1730</v>
      </c>
      <c r="F226" s="100">
        <v>934.12098414716615</v>
      </c>
      <c r="G226" s="94"/>
      <c r="H226" s="100"/>
      <c r="I226" s="100">
        <v>605.65692597877182</v>
      </c>
      <c r="J226" s="100">
        <v>640.14748998169171</v>
      </c>
      <c r="K226" s="100">
        <v>934.12098414716615</v>
      </c>
      <c r="L226" s="100">
        <v>934.12098414716615</v>
      </c>
      <c r="M226" s="100">
        <v>5765.3053045368097</v>
      </c>
      <c r="N226" s="100">
        <v>4272.5736305039081</v>
      </c>
      <c r="O226" s="100">
        <f t="shared" si="11"/>
        <v>934.12098414716615</v>
      </c>
      <c r="P226" s="100">
        <f t="shared" si="12"/>
        <v>4272.5736305039081</v>
      </c>
    </row>
    <row r="227" spans="2:16">
      <c r="B227" s="9">
        <v>219</v>
      </c>
      <c r="C227" s="61" t="s">
        <v>430</v>
      </c>
      <c r="D227" s="61" t="s">
        <v>571</v>
      </c>
      <c r="E227" s="290" t="s">
        <v>1733</v>
      </c>
      <c r="F227" s="100">
        <v>934.12098414716615</v>
      </c>
      <c r="G227" s="94"/>
      <c r="H227" s="100"/>
      <c r="I227" s="100">
        <v>605.65692597877182</v>
      </c>
      <c r="J227" s="100">
        <v>640.14748998169171</v>
      </c>
      <c r="K227" s="100">
        <v>934.12098414716615</v>
      </c>
      <c r="L227" s="100">
        <v>934.12098414716615</v>
      </c>
      <c r="M227" s="100">
        <v>5765.3053045368097</v>
      </c>
      <c r="N227" s="100">
        <v>4272.5736305039081</v>
      </c>
      <c r="O227" s="100">
        <f t="shared" si="11"/>
        <v>934.12098414716615</v>
      </c>
      <c r="P227" s="100">
        <f t="shared" si="12"/>
        <v>4272.5736305039081</v>
      </c>
    </row>
    <row r="228" spans="2:16">
      <c r="B228" s="9">
        <v>220</v>
      </c>
      <c r="C228" s="61" t="s">
        <v>431</v>
      </c>
      <c r="D228" s="61" t="s">
        <v>573</v>
      </c>
      <c r="E228" s="290" t="s">
        <v>1679</v>
      </c>
      <c r="F228" s="100">
        <v>23353.024603679154</v>
      </c>
      <c r="G228" s="94"/>
      <c r="H228" s="100"/>
      <c r="I228" s="100">
        <v>15141.423149469296</v>
      </c>
      <c r="J228" s="100">
        <v>16003.687249542296</v>
      </c>
      <c r="K228" s="100">
        <v>23353.024603679154</v>
      </c>
      <c r="L228" s="100">
        <v>23353.024603679154</v>
      </c>
      <c r="M228" s="100">
        <v>144132.63261342025</v>
      </c>
      <c r="N228" s="100">
        <v>106814.3407625977</v>
      </c>
      <c r="O228" s="100">
        <f t="shared" si="11"/>
        <v>23353.024603679154</v>
      </c>
      <c r="P228" s="100">
        <f t="shared" si="12"/>
        <v>106814.3407625977</v>
      </c>
    </row>
    <row r="229" spans="2:16">
      <c r="B229" s="9">
        <v>221</v>
      </c>
      <c r="C229" s="61" t="s">
        <v>432</v>
      </c>
      <c r="D229" s="61" t="s">
        <v>571</v>
      </c>
      <c r="E229" s="290" t="s">
        <v>1716</v>
      </c>
      <c r="F229" s="100">
        <v>70059.073811037451</v>
      </c>
      <c r="G229" s="94"/>
      <c r="H229" s="100"/>
      <c r="I229" s="100">
        <v>57.157189216235849</v>
      </c>
      <c r="J229" s="100">
        <v>48011.061748626875</v>
      </c>
      <c r="K229" s="100">
        <v>70059.073811037451</v>
      </c>
      <c r="L229" s="100">
        <v>70059.073811037451</v>
      </c>
      <c r="M229" s="100">
        <v>432397.8978402607</v>
      </c>
      <c r="N229" s="100">
        <v>320443.02228779305</v>
      </c>
      <c r="O229" s="100">
        <f t="shared" si="11"/>
        <v>70059.073811037451</v>
      </c>
      <c r="P229" s="100">
        <f t="shared" si="12"/>
        <v>320443.02228779305</v>
      </c>
    </row>
    <row r="230" spans="2:16">
      <c r="B230" s="9">
        <v>222</v>
      </c>
      <c r="C230" s="61" t="s">
        <v>433</v>
      </c>
      <c r="D230" s="61" t="s">
        <v>571</v>
      </c>
      <c r="E230" s="290" t="s">
        <v>1604</v>
      </c>
      <c r="F230" s="100">
        <v>11676.512301839577</v>
      </c>
      <c r="G230" s="94"/>
      <c r="H230" s="100"/>
      <c r="I230" s="63">
        <v>2.0556675805625511</v>
      </c>
      <c r="J230" s="100">
        <v>8001.8436247711479</v>
      </c>
      <c r="K230" s="100">
        <v>11676.512301839577</v>
      </c>
      <c r="L230" s="100">
        <v>11676.512301839577</v>
      </c>
      <c r="M230" s="100">
        <v>72066.316306710127</v>
      </c>
      <c r="N230" s="100">
        <v>53407.170381298849</v>
      </c>
      <c r="O230" s="100">
        <f t="shared" si="11"/>
        <v>11676.512301839577</v>
      </c>
      <c r="P230" s="100">
        <f t="shared" si="12"/>
        <v>53407.170381298849</v>
      </c>
    </row>
    <row r="231" spans="2:16">
      <c r="B231" s="9">
        <v>223</v>
      </c>
      <c r="C231" s="61" t="s">
        <v>434</v>
      </c>
      <c r="D231" s="61" t="s">
        <v>571</v>
      </c>
      <c r="E231" s="290" t="s">
        <v>1711</v>
      </c>
      <c r="F231" s="100">
        <v>467.06049207358308</v>
      </c>
      <c r="G231" s="94"/>
      <c r="H231" s="100"/>
      <c r="I231" s="63">
        <v>9.2135659169585424E-2</v>
      </c>
      <c r="J231" s="100">
        <v>320.07374499084585</v>
      </c>
      <c r="K231" s="100">
        <v>467.06049207358308</v>
      </c>
      <c r="L231" s="100">
        <v>467.06049207358308</v>
      </c>
      <c r="M231" s="100">
        <v>2882.6526522684048</v>
      </c>
      <c r="N231" s="100">
        <v>2136.2868152519541</v>
      </c>
      <c r="O231" s="100">
        <f t="shared" si="11"/>
        <v>467.06049207358308</v>
      </c>
      <c r="P231" s="100">
        <f t="shared" si="12"/>
        <v>2136.2868152519541</v>
      </c>
    </row>
    <row r="232" spans="2:16">
      <c r="B232" s="9">
        <v>224</v>
      </c>
      <c r="C232" s="61" t="s">
        <v>435</v>
      </c>
      <c r="D232" s="61" t="s">
        <v>571</v>
      </c>
      <c r="E232" s="290" t="s">
        <v>1756</v>
      </c>
      <c r="F232" s="100">
        <v>1167.6512301839575</v>
      </c>
      <c r="G232" s="94"/>
      <c r="H232" s="100"/>
      <c r="I232" s="63">
        <v>2.6159931213813077</v>
      </c>
      <c r="J232" s="100">
        <v>800.18436247711475</v>
      </c>
      <c r="K232" s="100">
        <v>1167.6512301839575</v>
      </c>
      <c r="L232" s="100">
        <v>1167.6512301839575</v>
      </c>
      <c r="M232" s="100">
        <v>7206.6316306710114</v>
      </c>
      <c r="N232" s="100">
        <v>5340.7170381298856</v>
      </c>
      <c r="O232" s="100">
        <f t="shared" si="11"/>
        <v>1167.6512301839575</v>
      </c>
      <c r="P232" s="100">
        <f t="shared" si="12"/>
        <v>5340.7170381298856</v>
      </c>
    </row>
    <row r="233" spans="2:16">
      <c r="B233" s="9">
        <v>225</v>
      </c>
      <c r="C233" s="61" t="s">
        <v>436</v>
      </c>
      <c r="D233" s="61" t="s">
        <v>571</v>
      </c>
      <c r="E233" s="290" t="s">
        <v>1786</v>
      </c>
      <c r="F233" s="100">
        <v>233.53024603679154</v>
      </c>
      <c r="G233" s="94"/>
      <c r="H233" s="100"/>
      <c r="I233" s="63">
        <v>2.4061522130449368E-2</v>
      </c>
      <c r="J233" s="100">
        <v>160.03687249542293</v>
      </c>
      <c r="K233" s="100">
        <v>233.53024603679154</v>
      </c>
      <c r="L233" s="100">
        <v>233.53024603679154</v>
      </c>
      <c r="M233" s="100">
        <v>1441.3263261342024</v>
      </c>
      <c r="N233" s="100">
        <v>1068.143407625977</v>
      </c>
      <c r="O233" s="100">
        <f t="shared" si="11"/>
        <v>233.53024603679154</v>
      </c>
      <c r="P233" s="100">
        <f t="shared" si="12"/>
        <v>1068.143407625977</v>
      </c>
    </row>
    <row r="234" spans="2:16">
      <c r="B234" s="9">
        <v>226</v>
      </c>
      <c r="C234" s="61" t="s">
        <v>437</v>
      </c>
      <c r="D234" s="61" t="s">
        <v>571</v>
      </c>
      <c r="E234" s="290" t="s">
        <v>1573</v>
      </c>
      <c r="F234" s="94"/>
      <c r="G234" s="94"/>
      <c r="H234" s="100"/>
      <c r="I234" s="100"/>
      <c r="J234" s="100"/>
      <c r="K234" s="100"/>
      <c r="L234" s="100"/>
      <c r="M234" s="100"/>
      <c r="N234" s="100"/>
      <c r="O234" s="100"/>
      <c r="P234" s="100"/>
    </row>
    <row r="235" spans="2:16">
      <c r="B235" s="9">
        <v>227</v>
      </c>
      <c r="C235" s="61" t="s">
        <v>438</v>
      </c>
      <c r="D235" s="61" t="s">
        <v>571</v>
      </c>
      <c r="E235" s="290" t="s">
        <v>1626</v>
      </c>
      <c r="F235" s="94"/>
      <c r="G235" s="94"/>
      <c r="H235" s="100"/>
      <c r="I235" s="100"/>
      <c r="J235" s="100"/>
      <c r="K235" s="100"/>
      <c r="L235" s="100"/>
      <c r="M235" s="100"/>
      <c r="N235" s="100"/>
      <c r="O235" s="100"/>
      <c r="P235" s="100"/>
    </row>
    <row r="236" spans="2:16">
      <c r="B236" s="9">
        <v>228</v>
      </c>
      <c r="C236" s="61" t="s">
        <v>440</v>
      </c>
      <c r="D236" s="61">
        <v>3</v>
      </c>
      <c r="E236" s="290" t="s">
        <v>1633</v>
      </c>
      <c r="F236" s="94"/>
      <c r="G236" s="94"/>
      <c r="H236" s="100"/>
      <c r="I236" s="100"/>
      <c r="J236" s="100"/>
      <c r="K236" s="100"/>
      <c r="L236" s="100"/>
      <c r="M236" s="100"/>
      <c r="N236" s="100"/>
      <c r="O236" s="100"/>
      <c r="P236" s="100"/>
    </row>
    <row r="237" spans="2:16">
      <c r="B237" s="9">
        <v>229</v>
      </c>
      <c r="C237" s="61" t="s">
        <v>441</v>
      </c>
      <c r="D237" s="61" t="s">
        <v>571</v>
      </c>
      <c r="E237" s="290" t="s">
        <v>1762</v>
      </c>
      <c r="F237" s="94"/>
      <c r="G237" s="94"/>
      <c r="H237" s="100"/>
      <c r="I237" s="100"/>
      <c r="J237" s="100"/>
      <c r="K237" s="100"/>
      <c r="L237" s="100"/>
      <c r="M237" s="100"/>
      <c r="N237" s="100"/>
      <c r="O237" s="100"/>
      <c r="P237" s="100"/>
    </row>
    <row r="238" spans="2:16" ht="30">
      <c r="B238" s="9">
        <v>230</v>
      </c>
      <c r="C238" s="61" t="s">
        <v>442</v>
      </c>
      <c r="D238" s="61" t="s">
        <v>571</v>
      </c>
      <c r="E238" s="290" t="s">
        <v>1666</v>
      </c>
      <c r="F238" s="94"/>
      <c r="G238" s="94"/>
      <c r="H238" s="100"/>
      <c r="I238" s="100"/>
      <c r="J238" s="100"/>
      <c r="K238" s="100"/>
      <c r="L238" s="100"/>
      <c r="M238" s="100"/>
      <c r="N238" s="100"/>
      <c r="O238" s="100"/>
      <c r="P238" s="100"/>
    </row>
    <row r="239" spans="2:16">
      <c r="B239" s="9">
        <v>231</v>
      </c>
      <c r="C239" s="61" t="s">
        <v>443</v>
      </c>
      <c r="D239" s="61" t="s">
        <v>571</v>
      </c>
      <c r="E239" s="290" t="s">
        <v>1669</v>
      </c>
      <c r="F239" s="94"/>
      <c r="G239" s="94"/>
      <c r="H239" s="100"/>
      <c r="I239" s="100"/>
      <c r="J239" s="100"/>
      <c r="K239" s="100"/>
      <c r="L239" s="100"/>
      <c r="M239" s="100"/>
      <c r="N239" s="100"/>
      <c r="O239" s="100"/>
      <c r="P239" s="100"/>
    </row>
    <row r="240" spans="2:16">
      <c r="B240" s="9">
        <v>232</v>
      </c>
      <c r="C240" s="61" t="s">
        <v>444</v>
      </c>
      <c r="D240" s="61" t="s">
        <v>571</v>
      </c>
      <c r="E240" s="290" t="s">
        <v>1729</v>
      </c>
      <c r="F240" s="94"/>
      <c r="G240" s="94"/>
      <c r="H240" s="100"/>
      <c r="I240" s="100"/>
      <c r="J240" s="100"/>
      <c r="K240" s="100"/>
      <c r="L240" s="100"/>
      <c r="M240" s="100"/>
      <c r="N240" s="100"/>
      <c r="O240" s="100"/>
      <c r="P240" s="100"/>
    </row>
    <row r="241" spans="2:16">
      <c r="B241" s="9">
        <v>233</v>
      </c>
      <c r="C241" s="61" t="s">
        <v>445</v>
      </c>
      <c r="D241" s="61" t="s">
        <v>571</v>
      </c>
      <c r="E241" s="290" t="s">
        <v>1741</v>
      </c>
      <c r="F241" s="94"/>
      <c r="G241" s="94"/>
      <c r="H241" s="100"/>
      <c r="I241" s="100"/>
      <c r="J241" s="100"/>
      <c r="K241" s="100"/>
      <c r="L241" s="100"/>
      <c r="M241" s="100"/>
      <c r="N241" s="100"/>
      <c r="O241" s="100"/>
      <c r="P241" s="100"/>
    </row>
    <row r="242" spans="2:16">
      <c r="B242" s="9">
        <v>234</v>
      </c>
      <c r="C242" s="61" t="s">
        <v>446</v>
      </c>
      <c r="D242" s="61" t="s">
        <v>571</v>
      </c>
      <c r="E242" s="290" t="s">
        <v>1764</v>
      </c>
      <c r="F242" s="94"/>
      <c r="G242" s="94"/>
      <c r="H242" s="100"/>
      <c r="I242" s="100"/>
      <c r="J242" s="100"/>
      <c r="K242" s="100"/>
      <c r="L242" s="100"/>
      <c r="M242" s="100"/>
      <c r="N242" s="100"/>
      <c r="O242" s="100"/>
      <c r="P242" s="100"/>
    </row>
    <row r="243" spans="2:16">
      <c r="B243" s="9">
        <v>235</v>
      </c>
      <c r="C243" s="61" t="s">
        <v>447</v>
      </c>
      <c r="D243" s="61" t="s">
        <v>571</v>
      </c>
      <c r="E243" s="290" t="s">
        <v>1783</v>
      </c>
      <c r="F243" s="94"/>
      <c r="G243" s="94"/>
      <c r="H243" s="100"/>
      <c r="I243" s="100"/>
      <c r="J243" s="100"/>
      <c r="K243" s="100"/>
      <c r="L243" s="100"/>
      <c r="M243" s="100"/>
      <c r="N243" s="100"/>
      <c r="O243" s="100"/>
      <c r="P243" s="100"/>
    </row>
    <row r="244" spans="2:16">
      <c r="B244" s="9">
        <v>237</v>
      </c>
      <c r="C244" s="61" t="s">
        <v>448</v>
      </c>
      <c r="D244" s="61" t="s">
        <v>571</v>
      </c>
      <c r="E244" s="290" t="s">
        <v>1671</v>
      </c>
      <c r="F244" s="100">
        <v>107012.7638395111</v>
      </c>
      <c r="G244" s="94"/>
      <c r="H244" s="100"/>
      <c r="I244" s="100">
        <v>1298.6077398526363</v>
      </c>
      <c r="J244" s="100">
        <v>1298.9078494507155</v>
      </c>
      <c r="K244" s="100">
        <v>30183.752371753169</v>
      </c>
      <c r="L244" s="100">
        <v>107012.7638395111</v>
      </c>
      <c r="M244" s="100">
        <v>5490.3710439576207</v>
      </c>
      <c r="N244" s="100">
        <v>17581.015749943854</v>
      </c>
      <c r="O244" s="100">
        <f>MIN(K244,L244,M244,N244)</f>
        <v>5490.3710439576207</v>
      </c>
      <c r="P244" s="100">
        <f t="shared" si="12"/>
        <v>5490.3710439576207</v>
      </c>
    </row>
    <row r="245" spans="2:16" s="203" customFormat="1">
      <c r="B245" s="212">
        <v>238</v>
      </c>
      <c r="C245" s="212" t="s">
        <v>1399</v>
      </c>
      <c r="D245" s="220">
        <v>3</v>
      </c>
      <c r="E245" s="64" t="s">
        <v>1645</v>
      </c>
      <c r="F245" s="208">
        <v>467.06049207358308</v>
      </c>
      <c r="G245" s="100"/>
      <c r="H245" s="100"/>
      <c r="I245" s="209">
        <v>0.25491396117994902</v>
      </c>
      <c r="J245" s="208">
        <v>320.07374499084585</v>
      </c>
      <c r="K245" s="208">
        <v>467.06049207358308</v>
      </c>
      <c r="L245" s="208">
        <v>467.06049207358308</v>
      </c>
      <c r="M245" s="208">
        <v>2882.6526522684048</v>
      </c>
      <c r="N245" s="208">
        <v>2136.2868152519541</v>
      </c>
      <c r="O245" s="100">
        <f>MIN(K245,L245,M245,N245)</f>
        <v>467.06049207358308</v>
      </c>
      <c r="P245" s="100">
        <f t="shared" si="12"/>
        <v>2136.2868152519541</v>
      </c>
    </row>
    <row r="246" spans="2:16" s="203" customFormat="1">
      <c r="B246" s="212">
        <v>239</v>
      </c>
      <c r="C246" s="212" t="s">
        <v>1400</v>
      </c>
      <c r="D246" s="215" t="s">
        <v>571</v>
      </c>
      <c r="E246" s="317" t="s">
        <v>1638</v>
      </c>
      <c r="F246" s="100"/>
      <c r="G246" s="206"/>
      <c r="H246" s="100"/>
      <c r="I246" s="100"/>
      <c r="J246" s="100"/>
      <c r="K246" s="100"/>
      <c r="L246" s="100"/>
      <c r="M246" s="100"/>
      <c r="N246" s="100"/>
      <c r="O246" s="100"/>
      <c r="P246" s="100"/>
    </row>
    <row r="247" spans="2:16" s="203" customFormat="1">
      <c r="B247" s="212">
        <v>240</v>
      </c>
      <c r="C247" s="212" t="s">
        <v>1401</v>
      </c>
      <c r="D247" s="215" t="s">
        <v>571</v>
      </c>
      <c r="E247" s="317" t="s">
        <v>1706</v>
      </c>
      <c r="F247" s="100"/>
      <c r="G247" s="206"/>
      <c r="H247" s="100"/>
      <c r="I247" s="100"/>
      <c r="J247" s="100"/>
      <c r="K247" s="100"/>
      <c r="L247" s="100"/>
      <c r="M247" s="100"/>
      <c r="N247" s="100"/>
      <c r="O247" s="100"/>
      <c r="P247" s="100"/>
    </row>
    <row r="248" spans="2:16" s="203" customFormat="1">
      <c r="B248" s="212">
        <v>241</v>
      </c>
      <c r="C248" s="212" t="s">
        <v>1402</v>
      </c>
      <c r="D248" s="220">
        <v>1</v>
      </c>
      <c r="E248" s="317" t="s">
        <v>1434</v>
      </c>
      <c r="F248" s="209">
        <v>12.417182227402934</v>
      </c>
      <c r="G248" s="209"/>
      <c r="H248" s="209"/>
      <c r="I248" s="209">
        <v>1.1052830069966652E-2</v>
      </c>
      <c r="J248" s="209">
        <v>8.2115221249187562E-2</v>
      </c>
      <c r="K248" s="209">
        <v>2.1786133878459477</v>
      </c>
      <c r="L248" s="209">
        <v>12.417182227402934</v>
      </c>
      <c r="M248" s="209"/>
      <c r="N248" s="209">
        <v>0.53570952256794679</v>
      </c>
      <c r="O248" s="209">
        <v>1.7122100932471176</v>
      </c>
      <c r="P248" s="63">
        <f t="shared" si="12"/>
        <v>0.53570952256794679</v>
      </c>
    </row>
    <row r="249" spans="2:16" s="203" customFormat="1">
      <c r="B249" s="212">
        <v>242</v>
      </c>
      <c r="C249" s="212" t="s">
        <v>1403</v>
      </c>
      <c r="D249" s="212" t="s">
        <v>571</v>
      </c>
      <c r="E249" s="317" t="s">
        <v>1677</v>
      </c>
      <c r="F249" s="100"/>
      <c r="G249" s="206"/>
      <c r="H249" s="100"/>
      <c r="I249" s="100"/>
      <c r="J249" s="100"/>
      <c r="K249" s="100"/>
      <c r="L249" s="100"/>
      <c r="M249" s="100"/>
      <c r="N249" s="100"/>
      <c r="O249" s="100"/>
      <c r="P249" s="100"/>
    </row>
    <row r="250" spans="2:16" s="210" customFormat="1">
      <c r="B250" s="212">
        <v>243</v>
      </c>
      <c r="C250" s="212" t="s">
        <v>1424</v>
      </c>
      <c r="D250" s="212" t="s">
        <v>571</v>
      </c>
      <c r="E250" s="64" t="s">
        <v>1502</v>
      </c>
      <c r="F250" s="100"/>
      <c r="G250" s="219"/>
      <c r="H250" s="100"/>
      <c r="I250" s="100"/>
      <c r="J250" s="100"/>
      <c r="K250" s="100"/>
      <c r="L250" s="100"/>
      <c r="M250" s="100"/>
      <c r="N250" s="100"/>
      <c r="O250" s="100"/>
      <c r="P250" s="100"/>
    </row>
    <row r="251" spans="2:16" s="227" customFormat="1">
      <c r="B251" s="221">
        <v>244</v>
      </c>
      <c r="C251" s="217" t="s">
        <v>1435</v>
      </c>
      <c r="D251" s="212" t="s">
        <v>571</v>
      </c>
      <c r="E251" s="290" t="s">
        <v>1444</v>
      </c>
      <c r="F251" s="100"/>
      <c r="G251" s="219"/>
      <c r="H251" s="100"/>
      <c r="I251" s="100"/>
      <c r="J251" s="100"/>
      <c r="K251" s="100"/>
      <c r="L251" s="100"/>
      <c r="M251" s="100"/>
      <c r="N251" s="100"/>
      <c r="O251" s="100"/>
      <c r="P251" s="100"/>
    </row>
    <row r="252" spans="2:16" s="227" customFormat="1">
      <c r="B252" s="221">
        <v>245</v>
      </c>
      <c r="C252" s="217" t="s">
        <v>1436</v>
      </c>
      <c r="D252" s="212" t="s">
        <v>571</v>
      </c>
      <c r="E252" s="290" t="s">
        <v>1485</v>
      </c>
      <c r="F252" s="100"/>
      <c r="G252" s="219"/>
      <c r="H252" s="100"/>
      <c r="I252" s="100"/>
      <c r="J252" s="100"/>
      <c r="K252" s="100"/>
      <c r="L252" s="100"/>
      <c r="M252" s="100"/>
      <c r="N252" s="100"/>
      <c r="O252" s="100"/>
      <c r="P252" s="100"/>
    </row>
    <row r="253" spans="2:16" s="227" customFormat="1">
      <c r="B253" s="221">
        <v>246</v>
      </c>
      <c r="C253" s="217" t="s">
        <v>1437</v>
      </c>
      <c r="D253" s="212" t="s">
        <v>571</v>
      </c>
      <c r="E253" s="290" t="s">
        <v>1530</v>
      </c>
      <c r="F253" s="100"/>
      <c r="G253" s="219"/>
      <c r="H253" s="100"/>
      <c r="I253" s="100"/>
      <c r="J253" s="100"/>
      <c r="K253" s="100"/>
      <c r="L253" s="100"/>
      <c r="M253" s="100"/>
      <c r="N253" s="100"/>
      <c r="O253" s="100"/>
      <c r="P253" s="100"/>
    </row>
    <row r="254" spans="2:16" s="227" customFormat="1">
      <c r="B254" s="221">
        <v>247</v>
      </c>
      <c r="C254" s="217" t="s">
        <v>1438</v>
      </c>
      <c r="D254" s="212" t="s">
        <v>571</v>
      </c>
      <c r="E254" s="290" t="s">
        <v>1473</v>
      </c>
      <c r="F254" s="100"/>
      <c r="G254" s="219"/>
      <c r="H254" s="100"/>
      <c r="I254" s="100"/>
      <c r="J254" s="100"/>
      <c r="K254" s="100"/>
      <c r="L254" s="100"/>
      <c r="M254" s="100"/>
      <c r="N254" s="100"/>
      <c r="O254" s="100"/>
      <c r="P254" s="100"/>
    </row>
    <row r="255" spans="2:16" s="227" customFormat="1">
      <c r="B255" s="221">
        <v>248</v>
      </c>
      <c r="C255" s="217" t="s">
        <v>1439</v>
      </c>
      <c r="D255" s="212" t="s">
        <v>571</v>
      </c>
      <c r="E255" s="290" t="s">
        <v>1446</v>
      </c>
      <c r="F255" s="100"/>
      <c r="G255" s="219"/>
      <c r="H255" s="100"/>
      <c r="I255" s="100"/>
      <c r="J255" s="100"/>
      <c r="K255" s="100"/>
      <c r="L255" s="100"/>
      <c r="M255" s="100"/>
      <c r="N255" s="100"/>
      <c r="O255" s="100"/>
      <c r="P255" s="100"/>
    </row>
    <row r="256" spans="2:16" s="227" customFormat="1">
      <c r="B256" s="221">
        <v>249</v>
      </c>
      <c r="C256" s="217" t="s">
        <v>1440</v>
      </c>
      <c r="D256" s="212" t="s">
        <v>571</v>
      </c>
      <c r="E256" s="290" t="s">
        <v>1448</v>
      </c>
      <c r="F256" s="100"/>
      <c r="G256" s="219"/>
      <c r="H256" s="100"/>
      <c r="I256" s="100"/>
      <c r="J256" s="100"/>
      <c r="K256" s="100"/>
      <c r="L256" s="100"/>
      <c r="M256" s="100"/>
      <c r="N256" s="100"/>
      <c r="O256" s="100"/>
      <c r="P256" s="100"/>
    </row>
    <row r="257" spans="2:16" s="227" customFormat="1">
      <c r="B257" s="221">
        <v>250</v>
      </c>
      <c r="C257" s="217" t="s">
        <v>1441</v>
      </c>
      <c r="D257" s="212" t="s">
        <v>571</v>
      </c>
      <c r="E257" s="290" t="s">
        <v>1534</v>
      </c>
      <c r="F257" s="100"/>
      <c r="G257" s="219"/>
      <c r="H257" s="100"/>
      <c r="I257" s="100"/>
      <c r="J257" s="100"/>
      <c r="K257" s="100"/>
      <c r="L257" s="100"/>
      <c r="M257" s="100"/>
      <c r="N257" s="100"/>
      <c r="O257" s="100"/>
      <c r="P257" s="100"/>
    </row>
    <row r="258" spans="2:16" s="227" customFormat="1">
      <c r="B258" s="221">
        <v>251</v>
      </c>
      <c r="C258" s="217" t="s">
        <v>1442</v>
      </c>
      <c r="D258" s="212" t="s">
        <v>571</v>
      </c>
      <c r="E258" s="290" t="s">
        <v>1524</v>
      </c>
      <c r="F258" s="100"/>
      <c r="G258" s="219"/>
      <c r="H258" s="100"/>
      <c r="I258" s="100"/>
      <c r="J258" s="100"/>
      <c r="K258" s="100"/>
      <c r="L258" s="100"/>
      <c r="M258" s="100"/>
      <c r="N258" s="100"/>
      <c r="O258" s="100"/>
      <c r="P258" s="100"/>
    </row>
    <row r="259" spans="2:16" s="227" customFormat="1">
      <c r="B259" s="221">
        <v>252</v>
      </c>
      <c r="C259" s="217" t="s">
        <v>1443</v>
      </c>
      <c r="D259" s="212" t="s">
        <v>571</v>
      </c>
      <c r="E259" s="290" t="s">
        <v>1447</v>
      </c>
      <c r="F259" s="100"/>
      <c r="G259" s="219"/>
      <c r="H259" s="100"/>
      <c r="I259" s="100"/>
      <c r="J259" s="100"/>
      <c r="K259" s="100"/>
      <c r="L259" s="100"/>
      <c r="M259" s="100"/>
      <c r="N259" s="100"/>
      <c r="O259" s="100"/>
      <c r="P259" s="100"/>
    </row>
    <row r="260" spans="2:16" s="227" customFormat="1">
      <c r="B260" s="212">
        <v>253</v>
      </c>
      <c r="C260" s="212" t="s">
        <v>1450</v>
      </c>
      <c r="D260" s="212" t="s">
        <v>571</v>
      </c>
      <c r="E260" s="218" t="s">
        <v>1451</v>
      </c>
      <c r="F260" s="100"/>
      <c r="G260" s="219"/>
      <c r="H260" s="100"/>
      <c r="I260" s="100"/>
      <c r="J260" s="100"/>
      <c r="K260" s="100"/>
      <c r="L260" s="100"/>
      <c r="M260" s="100"/>
      <c r="N260" s="100"/>
      <c r="O260" s="100"/>
      <c r="P260" s="100"/>
    </row>
    <row r="261" spans="2:16" s="210" customFormat="1">
      <c r="B261" s="217">
        <v>254</v>
      </c>
      <c r="C261" s="213" t="s">
        <v>1798</v>
      </c>
      <c r="D261" s="212" t="s">
        <v>1809</v>
      </c>
      <c r="E261" s="314" t="s">
        <v>1802</v>
      </c>
      <c r="F261" s="462"/>
      <c r="G261" s="456"/>
      <c r="H261" s="462"/>
      <c r="I261" s="462"/>
      <c r="J261" s="462"/>
      <c r="K261" s="462"/>
      <c r="L261" s="462"/>
      <c r="M261" s="462"/>
      <c r="N261" s="462"/>
      <c r="O261" s="462"/>
      <c r="P261" s="462"/>
    </row>
    <row r="262" spans="2:16" s="210" customFormat="1">
      <c r="B262" s="217">
        <v>255</v>
      </c>
      <c r="C262" s="213" t="s">
        <v>1799</v>
      </c>
      <c r="D262" s="212" t="s">
        <v>1809</v>
      </c>
      <c r="E262" s="314" t="s">
        <v>1803</v>
      </c>
      <c r="F262" s="462"/>
      <c r="G262" s="456"/>
      <c r="H262" s="462"/>
      <c r="I262" s="462"/>
      <c r="J262" s="462"/>
      <c r="K262" s="462"/>
      <c r="L262" s="462"/>
      <c r="M262" s="462"/>
      <c r="N262" s="462"/>
      <c r="O262" s="462"/>
      <c r="P262" s="462"/>
    </row>
    <row r="263" spans="2:16" s="203" customFormat="1">
      <c r="B263" s="217">
        <v>256</v>
      </c>
      <c r="C263" s="213" t="s">
        <v>1800</v>
      </c>
      <c r="D263" s="212" t="s">
        <v>1809</v>
      </c>
      <c r="E263" s="314" t="s">
        <v>1804</v>
      </c>
      <c r="F263" s="462"/>
      <c r="G263" s="456"/>
      <c r="H263" s="462"/>
      <c r="I263" s="462"/>
      <c r="J263" s="462"/>
      <c r="K263" s="462"/>
      <c r="L263" s="462"/>
      <c r="M263" s="462"/>
      <c r="N263" s="462"/>
      <c r="O263" s="462"/>
      <c r="P263" s="462"/>
    </row>
    <row r="264" spans="2:16" s="203" customFormat="1">
      <c r="B264" s="217">
        <v>257</v>
      </c>
      <c r="C264" s="213" t="s">
        <v>1801</v>
      </c>
      <c r="D264" s="212" t="s">
        <v>1809</v>
      </c>
      <c r="E264" s="314" t="s">
        <v>1805</v>
      </c>
      <c r="F264" s="462"/>
      <c r="G264" s="456"/>
      <c r="H264" s="462"/>
      <c r="I264" s="462"/>
      <c r="J264" s="462"/>
      <c r="K264" s="462"/>
      <c r="L264" s="462"/>
      <c r="M264" s="462"/>
      <c r="N264" s="462"/>
      <c r="O264" s="462"/>
      <c r="P264" s="462"/>
    </row>
    <row r="265" spans="2:16" s="439" customFormat="1">
      <c r="B265" s="533">
        <v>258</v>
      </c>
      <c r="C265" s="212" t="s">
        <v>1899</v>
      </c>
      <c r="D265" s="212" t="s">
        <v>571</v>
      </c>
      <c r="E265" s="90" t="s">
        <v>1898</v>
      </c>
      <c r="F265" s="462"/>
      <c r="G265" s="456"/>
      <c r="H265" s="462"/>
      <c r="I265" s="462"/>
      <c r="J265" s="462"/>
      <c r="K265" s="462"/>
      <c r="L265" s="462"/>
      <c r="M265" s="462"/>
      <c r="N265" s="462"/>
      <c r="O265" s="462"/>
      <c r="P265" s="462"/>
    </row>
    <row r="266" spans="2:16" s="439" customFormat="1">
      <c r="B266" s="533">
        <v>259</v>
      </c>
      <c r="C266" s="455" t="s">
        <v>1918</v>
      </c>
      <c r="D266" s="212" t="s">
        <v>572</v>
      </c>
      <c r="E266" s="315" t="s">
        <v>1922</v>
      </c>
      <c r="F266" s="462"/>
      <c r="G266" s="456"/>
      <c r="H266" s="462"/>
      <c r="I266" s="462"/>
      <c r="J266" s="462"/>
      <c r="K266" s="462"/>
      <c r="L266" s="462"/>
      <c r="M266" s="462"/>
      <c r="N266" s="462"/>
      <c r="O266" s="462"/>
      <c r="P266" s="462"/>
    </row>
    <row r="267" spans="2:16" s="439" customFormat="1">
      <c r="B267" s="533">
        <v>260</v>
      </c>
      <c r="C267" s="455" t="s">
        <v>1919</v>
      </c>
      <c r="D267" s="212" t="s">
        <v>571</v>
      </c>
      <c r="E267" s="315" t="s">
        <v>1924</v>
      </c>
      <c r="F267" s="462"/>
      <c r="G267" s="456"/>
      <c r="H267" s="462"/>
      <c r="I267" s="462"/>
      <c r="J267" s="462"/>
      <c r="K267" s="462"/>
      <c r="L267" s="462"/>
      <c r="M267" s="462"/>
      <c r="N267" s="462"/>
      <c r="O267" s="462"/>
      <c r="P267" s="462"/>
    </row>
    <row r="268" spans="2:16" s="439" customFormat="1">
      <c r="B268" s="533">
        <v>261</v>
      </c>
      <c r="C268" s="455" t="s">
        <v>1925</v>
      </c>
      <c r="D268" s="212" t="s">
        <v>571</v>
      </c>
      <c r="E268" s="315" t="s">
        <v>1951</v>
      </c>
      <c r="F268" s="462"/>
      <c r="G268" s="456"/>
      <c r="H268" s="462"/>
      <c r="I268" s="462"/>
      <c r="J268" s="462"/>
      <c r="K268" s="462"/>
      <c r="L268" s="462"/>
      <c r="M268" s="462"/>
      <c r="N268" s="462"/>
      <c r="O268" s="462"/>
      <c r="P268" s="462"/>
    </row>
    <row r="269" spans="2:16" s="439" customFormat="1">
      <c r="B269" s="533">
        <v>262</v>
      </c>
      <c r="C269" s="455" t="s">
        <v>1927</v>
      </c>
      <c r="D269" s="212" t="s">
        <v>571</v>
      </c>
      <c r="E269" s="315" t="s">
        <v>1926</v>
      </c>
      <c r="F269" s="462"/>
      <c r="G269" s="456"/>
      <c r="H269" s="462"/>
      <c r="I269" s="462"/>
      <c r="J269" s="462"/>
      <c r="K269" s="462"/>
      <c r="L269" s="462"/>
      <c r="M269" s="462"/>
      <c r="N269" s="462"/>
      <c r="O269" s="462"/>
      <c r="P269" s="462"/>
    </row>
    <row r="270" spans="2:16" s="439" customFormat="1">
      <c r="B270" s="533">
        <v>263</v>
      </c>
      <c r="C270" s="455" t="s">
        <v>1929</v>
      </c>
      <c r="D270" s="212" t="s">
        <v>571</v>
      </c>
      <c r="E270" s="315" t="s">
        <v>1928</v>
      </c>
      <c r="F270" s="462"/>
      <c r="G270" s="456"/>
      <c r="H270" s="462"/>
      <c r="I270" s="462"/>
      <c r="J270" s="462"/>
      <c r="K270" s="462"/>
      <c r="L270" s="462"/>
      <c r="M270" s="462"/>
      <c r="N270" s="462"/>
      <c r="O270" s="462"/>
      <c r="P270" s="462"/>
    </row>
    <row r="271" spans="2:16" s="439" customFormat="1">
      <c r="B271" s="533">
        <v>264</v>
      </c>
      <c r="C271" s="455" t="s">
        <v>1930</v>
      </c>
      <c r="D271" s="212" t="s">
        <v>571</v>
      </c>
      <c r="E271" s="90" t="s">
        <v>1952</v>
      </c>
      <c r="F271" s="462"/>
      <c r="G271" s="456"/>
      <c r="H271" s="462"/>
      <c r="I271" s="462"/>
      <c r="J271" s="462"/>
      <c r="K271" s="462"/>
      <c r="L271" s="462"/>
      <c r="M271" s="462"/>
      <c r="N271" s="462"/>
      <c r="O271" s="462"/>
      <c r="P271" s="462"/>
    </row>
    <row r="272" spans="2:16" s="439" customFormat="1">
      <c r="B272" s="533">
        <v>265</v>
      </c>
      <c r="C272" s="455" t="s">
        <v>1932</v>
      </c>
      <c r="D272" s="212" t="s">
        <v>571</v>
      </c>
      <c r="E272" s="213" t="s">
        <v>1954</v>
      </c>
      <c r="F272" s="462"/>
      <c r="G272" s="456"/>
      <c r="H272" s="462"/>
      <c r="I272" s="462"/>
      <c r="J272" s="462"/>
      <c r="K272" s="462"/>
      <c r="L272" s="462"/>
      <c r="M272" s="462"/>
      <c r="N272" s="462"/>
      <c r="O272" s="462"/>
      <c r="P272" s="462"/>
    </row>
    <row r="273" spans="2:16" s="439" customFormat="1">
      <c r="B273" s="533">
        <v>267</v>
      </c>
      <c r="C273" s="455" t="s">
        <v>1956</v>
      </c>
      <c r="D273" s="212" t="s">
        <v>571</v>
      </c>
      <c r="E273" s="213" t="s">
        <v>1957</v>
      </c>
      <c r="F273" s="462"/>
      <c r="G273" s="456"/>
      <c r="H273" s="462"/>
      <c r="I273" s="462"/>
      <c r="J273" s="462"/>
      <c r="K273" s="462"/>
      <c r="L273" s="462"/>
      <c r="M273" s="462"/>
      <c r="N273" s="462"/>
      <c r="O273" s="462"/>
      <c r="P273" s="462"/>
    </row>
    <row r="274" spans="2:16" s="439" customFormat="1">
      <c r="B274" s="533">
        <v>268</v>
      </c>
      <c r="C274" s="455" t="s">
        <v>1934</v>
      </c>
      <c r="D274" s="212" t="s">
        <v>571</v>
      </c>
      <c r="E274" s="316" t="s">
        <v>1959</v>
      </c>
      <c r="F274" s="462"/>
      <c r="G274" s="456"/>
      <c r="H274" s="462"/>
      <c r="I274" s="462"/>
      <c r="J274" s="462"/>
      <c r="K274" s="462"/>
      <c r="L274" s="462"/>
      <c r="M274" s="462"/>
      <c r="N274" s="462"/>
      <c r="O274" s="462"/>
      <c r="P274" s="462"/>
    </row>
    <row r="275" spans="2:16" s="439" customFormat="1" ht="30">
      <c r="B275" s="533">
        <v>269</v>
      </c>
      <c r="C275" s="455" t="s">
        <v>1935</v>
      </c>
      <c r="D275" s="212" t="s">
        <v>571</v>
      </c>
      <c r="E275" s="316" t="s">
        <v>1960</v>
      </c>
      <c r="F275" s="462"/>
      <c r="G275" s="456"/>
      <c r="H275" s="462"/>
      <c r="I275" s="462"/>
      <c r="J275" s="462"/>
      <c r="K275" s="462"/>
      <c r="L275" s="462"/>
      <c r="M275" s="462"/>
      <c r="N275" s="462"/>
      <c r="O275" s="462"/>
      <c r="P275" s="462"/>
    </row>
    <row r="276" spans="2:16" s="439" customFormat="1">
      <c r="B276" s="533">
        <v>270</v>
      </c>
      <c r="C276" s="455" t="s">
        <v>1938</v>
      </c>
      <c r="D276" s="212" t="s">
        <v>571</v>
      </c>
      <c r="E276" s="315" t="s">
        <v>1937</v>
      </c>
      <c r="F276" s="462"/>
      <c r="G276" s="456"/>
      <c r="H276" s="462"/>
      <c r="I276" s="462"/>
      <c r="J276" s="462"/>
      <c r="K276" s="462"/>
      <c r="L276" s="462"/>
      <c r="M276" s="462"/>
      <c r="N276" s="462"/>
      <c r="O276" s="462"/>
      <c r="P276" s="462"/>
    </row>
    <row r="277" spans="2:16" s="439" customFormat="1" ht="30">
      <c r="B277" s="533">
        <v>271</v>
      </c>
      <c r="C277" s="455" t="s">
        <v>1936</v>
      </c>
      <c r="D277" s="212" t="s">
        <v>571</v>
      </c>
      <c r="E277" s="315" t="s">
        <v>1961</v>
      </c>
      <c r="F277" s="462"/>
      <c r="G277" s="456"/>
      <c r="H277" s="462"/>
      <c r="I277" s="462"/>
      <c r="J277" s="462"/>
      <c r="K277" s="462"/>
      <c r="L277" s="462"/>
      <c r="M277" s="462"/>
      <c r="N277" s="462"/>
      <c r="O277" s="462"/>
      <c r="P277" s="462"/>
    </row>
    <row r="278" spans="2:16" s="439" customFormat="1">
      <c r="B278" s="533">
        <v>272</v>
      </c>
      <c r="C278" s="455" t="s">
        <v>1939</v>
      </c>
      <c r="D278" s="212" t="s">
        <v>571</v>
      </c>
      <c r="E278" s="315" t="s">
        <v>1963</v>
      </c>
      <c r="F278" s="462"/>
      <c r="G278" s="456"/>
      <c r="H278" s="462"/>
      <c r="I278" s="462"/>
      <c r="J278" s="462"/>
      <c r="K278" s="462"/>
      <c r="L278" s="462"/>
      <c r="M278" s="462"/>
      <c r="N278" s="462"/>
      <c r="O278" s="462"/>
      <c r="P278" s="462"/>
    </row>
    <row r="279" spans="2:16" s="439" customFormat="1">
      <c r="B279" s="533">
        <v>274</v>
      </c>
      <c r="C279" s="455" t="s">
        <v>1940</v>
      </c>
      <c r="D279" s="212" t="s">
        <v>571</v>
      </c>
      <c r="E279" s="90" t="s">
        <v>1964</v>
      </c>
      <c r="F279" s="462"/>
      <c r="G279" s="456"/>
      <c r="H279" s="462"/>
      <c r="I279" s="462"/>
      <c r="J279" s="462"/>
      <c r="K279" s="462"/>
      <c r="L279" s="462"/>
      <c r="M279" s="462"/>
      <c r="N279" s="462"/>
      <c r="O279" s="462"/>
      <c r="P279" s="462"/>
    </row>
    <row r="280" spans="2:16" s="439" customFormat="1">
      <c r="B280" s="533">
        <v>275</v>
      </c>
      <c r="C280" s="455" t="s">
        <v>1942</v>
      </c>
      <c r="D280" s="212" t="s">
        <v>571</v>
      </c>
      <c r="E280" s="213" t="s">
        <v>1965</v>
      </c>
      <c r="F280" s="462"/>
      <c r="G280" s="456"/>
      <c r="H280" s="462"/>
      <c r="I280" s="462"/>
      <c r="J280" s="462"/>
      <c r="K280" s="462"/>
      <c r="L280" s="462"/>
      <c r="M280" s="462"/>
      <c r="N280" s="462"/>
      <c r="O280" s="462"/>
      <c r="P280" s="462"/>
    </row>
    <row r="281" spans="2:16" s="439" customFormat="1">
      <c r="B281" s="533">
        <v>276</v>
      </c>
      <c r="C281" s="455" t="s">
        <v>1943</v>
      </c>
      <c r="D281" s="212" t="s">
        <v>571</v>
      </c>
      <c r="E281" s="213" t="s">
        <v>1966</v>
      </c>
      <c r="F281" s="462"/>
      <c r="G281" s="456"/>
      <c r="H281" s="462"/>
      <c r="I281" s="462"/>
      <c r="J281" s="462"/>
      <c r="K281" s="462"/>
      <c r="L281" s="462"/>
      <c r="M281" s="462"/>
      <c r="N281" s="462"/>
      <c r="O281" s="462"/>
      <c r="P281" s="462"/>
    </row>
    <row r="282" spans="2:16" s="529" customFormat="1">
      <c r="B282" s="533">
        <v>277</v>
      </c>
      <c r="C282" s="532" t="s">
        <v>1946</v>
      </c>
      <c r="D282" s="530" t="s">
        <v>571</v>
      </c>
      <c r="E282" s="213" t="s">
        <v>1967</v>
      </c>
      <c r="F282" s="462"/>
      <c r="G282" s="456"/>
      <c r="H282" s="462"/>
      <c r="I282" s="462"/>
      <c r="J282" s="462"/>
      <c r="K282" s="462"/>
      <c r="L282" s="462"/>
      <c r="M282" s="462"/>
      <c r="N282" s="462"/>
      <c r="O282" s="462"/>
      <c r="P282" s="462"/>
    </row>
    <row r="283" spans="2:16" s="439" customFormat="1">
      <c r="B283" s="533">
        <v>278</v>
      </c>
      <c r="C283" s="455" t="s">
        <v>1947</v>
      </c>
      <c r="D283" s="212" t="s">
        <v>571</v>
      </c>
      <c r="E283" s="315" t="s">
        <v>1968</v>
      </c>
      <c r="F283" s="462"/>
      <c r="G283" s="456"/>
      <c r="H283" s="462"/>
      <c r="I283" s="462"/>
      <c r="J283" s="462"/>
      <c r="K283" s="462"/>
      <c r="L283" s="462"/>
      <c r="M283" s="462"/>
      <c r="N283" s="462"/>
      <c r="O283" s="462"/>
      <c r="P283" s="462"/>
    </row>
    <row r="284" spans="2:16" s="439" customFormat="1">
      <c r="B284" s="533">
        <v>279</v>
      </c>
      <c r="C284" s="455" t="s">
        <v>1948</v>
      </c>
      <c r="D284" s="212" t="s">
        <v>571</v>
      </c>
      <c r="E284" s="315" t="s">
        <v>1970</v>
      </c>
      <c r="F284" s="462"/>
      <c r="G284" s="456"/>
      <c r="H284" s="462"/>
      <c r="I284" s="462"/>
      <c r="J284" s="462"/>
      <c r="K284" s="462"/>
      <c r="L284" s="462"/>
      <c r="M284" s="462"/>
      <c r="N284" s="462"/>
      <c r="O284" s="462"/>
      <c r="P284" s="462"/>
    </row>
    <row r="285" spans="2:16" s="439" customFormat="1">
      <c r="B285" s="533">
        <v>280</v>
      </c>
      <c r="C285" s="455" t="s">
        <v>1949</v>
      </c>
      <c r="D285" s="212" t="s">
        <v>571</v>
      </c>
      <c r="E285" s="70" t="s">
        <v>1972</v>
      </c>
      <c r="F285" s="462"/>
      <c r="G285" s="456"/>
      <c r="H285" s="462"/>
      <c r="I285" s="462"/>
      <c r="J285" s="462"/>
      <c r="K285" s="462"/>
      <c r="L285" s="462"/>
      <c r="M285" s="462"/>
      <c r="N285" s="462"/>
      <c r="O285" s="462"/>
      <c r="P285" s="462"/>
    </row>
    <row r="286" spans="2:16" s="439" customFormat="1">
      <c r="B286" s="533">
        <v>281</v>
      </c>
      <c r="C286" s="566" t="s">
        <v>2444</v>
      </c>
      <c r="D286" s="212" t="s">
        <v>571</v>
      </c>
      <c r="E286" s="315" t="s">
        <v>1973</v>
      </c>
      <c r="F286" s="462"/>
      <c r="G286" s="456"/>
      <c r="H286" s="462"/>
      <c r="I286" s="462"/>
      <c r="J286" s="462"/>
      <c r="K286" s="462"/>
      <c r="L286" s="462"/>
      <c r="M286" s="462"/>
      <c r="N286" s="462"/>
      <c r="O286" s="462"/>
      <c r="P286" s="462"/>
    </row>
    <row r="287" spans="2:16" s="439" customFormat="1">
      <c r="B287" s="533">
        <v>282</v>
      </c>
      <c r="C287" s="455" t="s">
        <v>1975</v>
      </c>
      <c r="D287" s="212" t="s">
        <v>571</v>
      </c>
      <c r="E287" s="315" t="s">
        <v>1974</v>
      </c>
      <c r="F287" s="462"/>
      <c r="G287" s="456"/>
      <c r="H287" s="462"/>
      <c r="I287" s="462"/>
      <c r="J287" s="462"/>
      <c r="K287" s="462"/>
      <c r="L287" s="462"/>
      <c r="M287" s="462"/>
      <c r="N287" s="462"/>
      <c r="O287" s="462"/>
      <c r="P287" s="462"/>
    </row>
    <row r="288" spans="2:16" s="439" customFormat="1">
      <c r="B288" s="533">
        <v>283</v>
      </c>
      <c r="C288" s="453" t="s">
        <v>1892</v>
      </c>
      <c r="D288" s="212" t="s">
        <v>571</v>
      </c>
      <c r="E288" s="315" t="s">
        <v>1891</v>
      </c>
      <c r="F288" s="462"/>
      <c r="G288" s="456"/>
      <c r="H288" s="462"/>
      <c r="I288" s="462"/>
      <c r="J288" s="462"/>
      <c r="K288" s="462"/>
      <c r="L288" s="462"/>
      <c r="M288" s="462"/>
      <c r="N288" s="462"/>
      <c r="O288" s="462"/>
      <c r="P288" s="462"/>
    </row>
    <row r="289" spans="2:16" s="439" customFormat="1">
      <c r="B289" s="452"/>
      <c r="C289" s="213"/>
      <c r="D289" s="212"/>
      <c r="E289" s="314"/>
      <c r="F289" s="462"/>
      <c r="G289" s="456"/>
      <c r="H289" s="462"/>
      <c r="I289" s="462"/>
      <c r="J289" s="462"/>
      <c r="K289" s="462"/>
      <c r="L289" s="462"/>
      <c r="M289" s="462"/>
      <c r="N289" s="462"/>
      <c r="O289" s="462"/>
      <c r="P289" s="462"/>
    </row>
    <row r="290" spans="2:16" s="439" customFormat="1">
      <c r="B290" s="452"/>
      <c r="C290" s="213"/>
      <c r="D290" s="212"/>
      <c r="E290" s="314"/>
      <c r="F290" s="462"/>
      <c r="G290" s="456"/>
      <c r="H290" s="462"/>
      <c r="I290" s="462"/>
      <c r="J290" s="462"/>
      <c r="K290" s="462"/>
      <c r="L290" s="462"/>
      <c r="M290" s="462"/>
      <c r="N290" s="462"/>
      <c r="O290" s="462"/>
      <c r="P290" s="462"/>
    </row>
    <row r="291" spans="2:16" s="439" customFormat="1">
      <c r="B291" s="452"/>
      <c r="C291" s="213"/>
      <c r="D291" s="212"/>
      <c r="E291" s="314"/>
      <c r="F291" s="462"/>
      <c r="G291" s="456"/>
      <c r="H291" s="462"/>
      <c r="I291" s="462"/>
      <c r="J291" s="462"/>
      <c r="K291" s="462"/>
      <c r="L291" s="462"/>
      <c r="M291" s="462"/>
      <c r="N291" s="462"/>
      <c r="O291" s="462"/>
      <c r="P291" s="462"/>
    </row>
    <row r="292" spans="2:16" s="439" customFormat="1">
      <c r="B292" s="452"/>
      <c r="C292" s="213"/>
      <c r="D292" s="212"/>
      <c r="E292" s="314"/>
      <c r="F292" s="462"/>
      <c r="G292" s="456"/>
      <c r="H292" s="462"/>
      <c r="I292" s="462"/>
      <c r="J292" s="462"/>
      <c r="K292" s="462"/>
      <c r="L292" s="462"/>
      <c r="M292" s="462"/>
      <c r="N292" s="462"/>
      <c r="O292" s="462"/>
      <c r="P292" s="462"/>
    </row>
    <row r="293" spans="2:16" s="439" customFormat="1">
      <c r="B293" s="452"/>
      <c r="C293" s="213"/>
      <c r="D293" s="212"/>
      <c r="E293" s="314"/>
      <c r="F293" s="462"/>
      <c r="G293" s="456"/>
      <c r="H293" s="462"/>
      <c r="I293" s="462"/>
      <c r="J293" s="462"/>
      <c r="K293" s="462"/>
      <c r="L293" s="462"/>
      <c r="M293" s="462"/>
      <c r="N293" s="462"/>
      <c r="O293" s="462"/>
      <c r="P293" s="462"/>
    </row>
    <row r="294" spans="2:16" s="439" customFormat="1">
      <c r="B294" s="452"/>
      <c r="C294" s="213"/>
      <c r="D294" s="212"/>
      <c r="E294" s="314"/>
      <c r="F294" s="462"/>
      <c r="G294" s="456"/>
      <c r="H294" s="462"/>
      <c r="I294" s="462"/>
      <c r="J294" s="462"/>
      <c r="K294" s="462"/>
      <c r="L294" s="462"/>
      <c r="M294" s="462"/>
      <c r="N294" s="462"/>
      <c r="O294" s="462"/>
      <c r="P294" s="462"/>
    </row>
    <row r="295" spans="2:16" s="439" customFormat="1">
      <c r="B295" s="452"/>
      <c r="C295" s="213"/>
      <c r="D295" s="212"/>
      <c r="E295" s="314"/>
      <c r="F295" s="462"/>
      <c r="G295" s="456"/>
      <c r="H295" s="462"/>
      <c r="I295" s="462"/>
      <c r="J295" s="462"/>
      <c r="K295" s="462"/>
      <c r="L295" s="462"/>
      <c r="M295" s="462"/>
      <c r="N295" s="462"/>
      <c r="O295" s="462"/>
      <c r="P295" s="462"/>
    </row>
    <row r="296" spans="2:16" s="439" customFormat="1">
      <c r="B296" s="452"/>
      <c r="C296" s="213"/>
      <c r="D296" s="212"/>
      <c r="E296" s="314"/>
      <c r="F296" s="462"/>
      <c r="G296" s="456"/>
      <c r="H296" s="462"/>
      <c r="I296" s="462"/>
      <c r="J296" s="462"/>
      <c r="K296" s="462"/>
      <c r="L296" s="462"/>
      <c r="M296" s="462"/>
      <c r="N296" s="462"/>
      <c r="O296" s="462"/>
      <c r="P296" s="462"/>
    </row>
    <row r="297" spans="2:16">
      <c r="B297" s="204"/>
      <c r="C297" s="205"/>
      <c r="D297" s="204"/>
      <c r="E297" s="205"/>
      <c r="F297" s="204"/>
      <c r="G297" s="204"/>
      <c r="H297" s="204"/>
      <c r="I297" s="204"/>
      <c r="J297" s="204"/>
      <c r="K297" s="204"/>
      <c r="L297" s="204"/>
      <c r="M297" s="204"/>
      <c r="N297" s="204"/>
      <c r="O297" s="204"/>
      <c r="P297" s="204"/>
    </row>
  </sheetData>
  <mergeCells count="2">
    <mergeCell ref="G2:H2"/>
    <mergeCell ref="B3:D3"/>
  </mergeCells>
  <pageMargins left="0.70866141732283472" right="0.70866141732283472" top="0.74803149606299213" bottom="0.74803149606299213" header="0.31496062992125984" footer="0.31496062992125984"/>
  <pageSetup paperSize="8" scale="73" fitToHeight="6" orientation="landscape" r:id="rId1"/>
</worksheet>
</file>

<file path=xl/worksheets/sheet9.xml><?xml version="1.0" encoding="utf-8"?>
<worksheet xmlns="http://schemas.openxmlformats.org/spreadsheetml/2006/main" xmlns:r="http://schemas.openxmlformats.org/officeDocument/2006/relationships">
  <sheetPr>
    <tabColor theme="3"/>
    <pageSetUpPr fitToPage="1"/>
  </sheetPr>
  <dimension ref="B1:AR175"/>
  <sheetViews>
    <sheetView view="pageBreakPreview" zoomScale="80" zoomScaleNormal="50" zoomScaleSheetLayoutView="80" workbookViewId="0">
      <pane ySplit="4" topLeftCell="A5" activePane="bottomLeft" state="frozen"/>
      <selection pane="bottomLeft" activeCell="G14" sqref="G14"/>
    </sheetView>
  </sheetViews>
  <sheetFormatPr baseColWidth="10" defaultColWidth="11.42578125" defaultRowHeight="15"/>
  <cols>
    <col min="1" max="1" width="3.5703125" style="236" customWidth="1"/>
    <col min="2" max="2" width="10.28515625" style="211" customWidth="1"/>
    <col min="3" max="3" width="15.7109375" style="236" customWidth="1"/>
    <col min="4" max="4" width="34.5703125" style="211" customWidth="1"/>
    <col min="5" max="5" width="20.7109375" style="236" customWidth="1"/>
    <col min="6" max="10" width="20.7109375" style="211" customWidth="1"/>
    <col min="11" max="11" width="20.7109375" style="457" customWidth="1"/>
    <col min="12" max="13" width="20.7109375" style="211" customWidth="1"/>
    <col min="14" max="14" width="14" style="211" customWidth="1"/>
    <col min="15" max="15" width="46.28515625" style="211" customWidth="1"/>
    <col min="16" max="16" width="23.7109375" style="211" customWidth="1"/>
    <col min="17" max="17" width="22.7109375" style="211" customWidth="1"/>
    <col min="18" max="18" width="11.7109375" style="236" customWidth="1"/>
    <col min="19" max="19" width="12.28515625" style="236" customWidth="1"/>
    <col min="20" max="23" width="11.42578125" style="236"/>
    <col min="24" max="24" width="11.7109375" style="236" customWidth="1"/>
    <col min="25" max="25" width="20.7109375" style="236" customWidth="1"/>
    <col min="26" max="16384" width="11.42578125" style="236"/>
  </cols>
  <sheetData>
    <row r="1" spans="2:42" s="481" customFormat="1">
      <c r="B1" s="484"/>
      <c r="D1" s="484"/>
      <c r="F1" s="484"/>
      <c r="G1" s="484"/>
      <c r="H1" s="484"/>
      <c r="I1" s="484"/>
      <c r="J1" s="484"/>
      <c r="K1" s="484"/>
      <c r="L1" s="484"/>
      <c r="M1" s="484"/>
      <c r="N1" s="484"/>
      <c r="O1" s="484"/>
      <c r="P1" s="484"/>
      <c r="Q1" s="484"/>
    </row>
    <row r="2" spans="2:42" s="481" customFormat="1" ht="18.75">
      <c r="B2" s="480" t="s">
        <v>1990</v>
      </c>
      <c r="C2" s="482"/>
      <c r="D2" s="483"/>
      <c r="E2" s="480"/>
      <c r="F2" s="479"/>
      <c r="G2" s="479"/>
      <c r="H2" s="479"/>
      <c r="I2" s="483"/>
      <c r="J2" s="483"/>
      <c r="K2" s="483"/>
      <c r="L2" s="483"/>
      <c r="M2" s="483"/>
      <c r="N2" s="483"/>
      <c r="O2" s="483"/>
      <c r="P2" s="484"/>
      <c r="Q2" s="484"/>
    </row>
    <row r="4" spans="2:42" ht="47.25">
      <c r="B4" s="256" t="s">
        <v>450</v>
      </c>
      <c r="C4" s="256" t="s">
        <v>46</v>
      </c>
      <c r="D4" s="256" t="s">
        <v>496</v>
      </c>
      <c r="E4" s="251" t="s">
        <v>1455</v>
      </c>
      <c r="F4" s="254" t="s">
        <v>1456</v>
      </c>
      <c r="G4" s="255" t="s">
        <v>1457</v>
      </c>
      <c r="H4" s="252" t="s">
        <v>1458</v>
      </c>
      <c r="I4" s="252" t="s">
        <v>1459</v>
      </c>
      <c r="J4" s="252" t="s">
        <v>1460</v>
      </c>
      <c r="K4" s="466" t="s">
        <v>1916</v>
      </c>
      <c r="L4" s="253" t="s">
        <v>1461</v>
      </c>
      <c r="M4" s="253" t="s">
        <v>1462</v>
      </c>
      <c r="N4" s="467" t="s">
        <v>1917</v>
      </c>
      <c r="O4" s="239" t="s">
        <v>1983</v>
      </c>
      <c r="P4" s="228"/>
      <c r="Q4" s="228"/>
      <c r="R4" s="216"/>
      <c r="S4" s="216"/>
      <c r="T4" s="216"/>
      <c r="U4" s="216"/>
      <c r="V4" s="216"/>
      <c r="W4" s="216"/>
      <c r="X4" s="216"/>
      <c r="Y4" s="216"/>
      <c r="Z4" s="216"/>
      <c r="AA4" s="216"/>
      <c r="AB4" s="216"/>
      <c r="AC4" s="216"/>
      <c r="AD4" s="216"/>
      <c r="AE4" s="216"/>
      <c r="AF4" s="216"/>
      <c r="AG4" s="216"/>
      <c r="AH4" s="216"/>
      <c r="AI4" s="216"/>
      <c r="AJ4" s="216"/>
      <c r="AK4" s="216"/>
      <c r="AL4" s="216"/>
      <c r="AM4" s="216"/>
      <c r="AN4" s="216"/>
      <c r="AO4" s="216"/>
      <c r="AP4" s="216"/>
    </row>
    <row r="5" spans="2:42" ht="30">
      <c r="B5" s="649">
        <v>1</v>
      </c>
      <c r="C5" s="617" t="s">
        <v>198</v>
      </c>
      <c r="D5" s="741" t="s">
        <v>1579</v>
      </c>
      <c r="E5" s="1043">
        <v>47210</v>
      </c>
      <c r="F5" s="1040">
        <v>8441</v>
      </c>
      <c r="G5" s="1043">
        <v>9345</v>
      </c>
      <c r="H5" s="1043">
        <v>1000000</v>
      </c>
      <c r="I5" s="1043">
        <v>47210</v>
      </c>
      <c r="J5" s="1043">
        <v>547500</v>
      </c>
      <c r="K5" s="1043">
        <f t="shared" ref="K5:K11" si="0">MIN(H5:J5)</f>
        <v>47210</v>
      </c>
      <c r="L5" s="1043">
        <v>547500</v>
      </c>
      <c r="M5" s="1043">
        <v>317000</v>
      </c>
      <c r="N5" s="1043">
        <f t="shared" ref="N5:N11" si="1">MIN(L5:M5)</f>
        <v>317000</v>
      </c>
      <c r="O5" s="764" t="s">
        <v>1984</v>
      </c>
      <c r="P5" s="121"/>
      <c r="Q5" s="121"/>
      <c r="R5" s="84"/>
      <c r="S5" s="84"/>
      <c r="T5" s="214"/>
      <c r="U5" s="84"/>
      <c r="V5" s="214"/>
      <c r="W5" s="214"/>
      <c r="X5" s="214"/>
      <c r="Y5" s="84"/>
      <c r="Z5" s="84"/>
      <c r="AA5" s="84"/>
      <c r="AB5" s="216"/>
      <c r="AC5" s="216"/>
      <c r="AD5" s="216"/>
      <c r="AE5" s="216"/>
      <c r="AF5" s="216"/>
      <c r="AG5" s="216"/>
      <c r="AH5" s="216"/>
      <c r="AI5" s="216"/>
      <c r="AJ5" s="216"/>
      <c r="AK5" s="216"/>
      <c r="AL5" s="216"/>
      <c r="AM5" s="216"/>
      <c r="AN5" s="216"/>
      <c r="AO5" s="216"/>
      <c r="AP5" s="216"/>
    </row>
    <row r="6" spans="2:42" s="631" customFormat="1" ht="30">
      <c r="B6" s="649">
        <v>2</v>
      </c>
      <c r="C6" s="617" t="s">
        <v>200</v>
      </c>
      <c r="D6" s="1041" t="s">
        <v>1582</v>
      </c>
      <c r="E6" s="1044">
        <v>2015</v>
      </c>
      <c r="F6" s="1045">
        <v>320.5</v>
      </c>
      <c r="G6" s="1044">
        <v>426.2</v>
      </c>
      <c r="H6" s="1044">
        <v>74780</v>
      </c>
      <c r="I6" s="1044">
        <v>2015</v>
      </c>
      <c r="J6" s="1044">
        <v>34760</v>
      </c>
      <c r="K6" s="1043">
        <f t="shared" si="0"/>
        <v>2015</v>
      </c>
      <c r="L6" s="1044">
        <v>34760</v>
      </c>
      <c r="M6" s="1044">
        <v>16560</v>
      </c>
      <c r="N6" s="1043">
        <f t="shared" si="1"/>
        <v>16560</v>
      </c>
      <c r="O6" s="819" t="s">
        <v>2505</v>
      </c>
      <c r="P6" s="736"/>
      <c r="Q6" s="736"/>
      <c r="R6" s="859"/>
      <c r="S6" s="859"/>
      <c r="T6" s="859"/>
      <c r="U6" s="859"/>
      <c r="V6" s="859"/>
      <c r="W6" s="859"/>
      <c r="X6" s="859"/>
      <c r="Y6" s="860"/>
      <c r="Z6" s="859"/>
      <c r="AA6" s="859"/>
      <c r="AB6" s="593"/>
      <c r="AC6" s="593"/>
      <c r="AD6" s="593"/>
      <c r="AE6" s="593"/>
      <c r="AF6" s="593"/>
      <c r="AG6" s="593"/>
      <c r="AH6" s="593"/>
      <c r="AI6" s="593"/>
      <c r="AJ6" s="593"/>
      <c r="AK6" s="593"/>
      <c r="AL6" s="593"/>
      <c r="AM6" s="593"/>
      <c r="AN6" s="593"/>
      <c r="AO6" s="593"/>
      <c r="AP6" s="593"/>
    </row>
    <row r="7" spans="2:42" ht="33">
      <c r="B7" s="649">
        <v>3</v>
      </c>
      <c r="C7" s="617" t="s">
        <v>202</v>
      </c>
      <c r="D7" s="1041" t="s">
        <v>1587</v>
      </c>
      <c r="E7" s="1043">
        <v>62590</v>
      </c>
      <c r="F7" s="1040">
        <v>3308</v>
      </c>
      <c r="G7" s="1043">
        <v>7663</v>
      </c>
      <c r="H7" s="1043">
        <v>565600</v>
      </c>
      <c r="I7" s="1043">
        <v>62590</v>
      </c>
      <c r="J7" s="1043">
        <v>244900</v>
      </c>
      <c r="K7" s="1043">
        <f t="shared" si="0"/>
        <v>62590</v>
      </c>
      <c r="L7" s="1043">
        <v>244900</v>
      </c>
      <c r="M7" s="1043">
        <v>200500</v>
      </c>
      <c r="N7" s="1043">
        <f t="shared" si="1"/>
        <v>200500</v>
      </c>
      <c r="O7" s="764" t="s">
        <v>1985</v>
      </c>
      <c r="P7" s="97"/>
      <c r="Q7" s="97"/>
      <c r="R7" s="92"/>
      <c r="S7" s="92"/>
      <c r="T7" s="84"/>
      <c r="U7" s="92"/>
      <c r="V7" s="92"/>
      <c r="W7" s="92"/>
      <c r="X7" s="92"/>
      <c r="Y7" s="92"/>
      <c r="Z7" s="92"/>
      <c r="AA7" s="92"/>
      <c r="AB7" s="216"/>
      <c r="AC7" s="216"/>
      <c r="AD7" s="216"/>
      <c r="AE7" s="216"/>
      <c r="AF7" s="216"/>
      <c r="AG7" s="216"/>
      <c r="AH7" s="216"/>
      <c r="AI7" s="216"/>
      <c r="AJ7" s="216"/>
      <c r="AK7" s="216"/>
      <c r="AL7" s="216"/>
      <c r="AM7" s="216"/>
      <c r="AN7" s="216"/>
      <c r="AO7" s="216"/>
      <c r="AP7" s="216"/>
    </row>
    <row r="8" spans="2:42">
      <c r="B8" s="649">
        <v>5</v>
      </c>
      <c r="C8" s="617" t="s">
        <v>204</v>
      </c>
      <c r="D8" s="1041" t="s">
        <v>1620</v>
      </c>
      <c r="E8" s="1047">
        <v>466.7</v>
      </c>
      <c r="F8" s="1047">
        <v>55.26</v>
      </c>
      <c r="G8" s="1047">
        <v>86.64</v>
      </c>
      <c r="H8" s="1047">
        <v>14370</v>
      </c>
      <c r="I8" s="1047">
        <v>466.7</v>
      </c>
      <c r="J8" s="1047">
        <v>6573</v>
      </c>
      <c r="K8" s="1043">
        <f t="shared" si="0"/>
        <v>466.7</v>
      </c>
      <c r="L8" s="1047">
        <v>6573</v>
      </c>
      <c r="M8" s="1047">
        <v>3476</v>
      </c>
      <c r="N8" s="1043">
        <f t="shared" si="1"/>
        <v>3476</v>
      </c>
      <c r="O8" s="637"/>
      <c r="P8" s="97"/>
      <c r="Q8" s="97"/>
      <c r="R8" s="92"/>
      <c r="S8" s="92"/>
      <c r="T8" s="84"/>
      <c r="U8" s="92"/>
      <c r="V8" s="92"/>
      <c r="W8" s="92"/>
      <c r="X8" s="92"/>
      <c r="Y8" s="92"/>
      <c r="Z8" s="92"/>
      <c r="AA8" s="92"/>
      <c r="AB8" s="216"/>
      <c r="AC8" s="216"/>
      <c r="AD8" s="216"/>
      <c r="AE8" s="216"/>
      <c r="AF8" s="216"/>
      <c r="AG8" s="216"/>
      <c r="AH8" s="216"/>
      <c r="AI8" s="216"/>
      <c r="AJ8" s="216"/>
      <c r="AK8" s="216"/>
      <c r="AL8" s="216"/>
      <c r="AM8" s="216"/>
      <c r="AN8" s="216"/>
      <c r="AO8" s="216"/>
      <c r="AP8" s="216"/>
    </row>
    <row r="9" spans="2:42">
      <c r="B9" s="649">
        <v>7</v>
      </c>
      <c r="C9" s="617" t="s">
        <v>206</v>
      </c>
      <c r="D9" s="1041" t="s">
        <v>1695</v>
      </c>
      <c r="E9" s="1044">
        <v>36640</v>
      </c>
      <c r="F9" s="1044">
        <v>3930</v>
      </c>
      <c r="G9" s="1044">
        <v>5286</v>
      </c>
      <c r="H9" s="1044">
        <v>187200</v>
      </c>
      <c r="I9" s="1044">
        <v>36640</v>
      </c>
      <c r="J9" s="1044">
        <v>82280</v>
      </c>
      <c r="K9" s="1043">
        <f t="shared" si="0"/>
        <v>36640</v>
      </c>
      <c r="L9" s="1044">
        <v>82280</v>
      </c>
      <c r="M9" s="1044">
        <v>74030</v>
      </c>
      <c r="N9" s="1043">
        <f t="shared" si="1"/>
        <v>74030</v>
      </c>
      <c r="O9" s="738"/>
      <c r="P9" s="97"/>
      <c r="Q9" s="97"/>
      <c r="R9" s="92"/>
      <c r="S9" s="92"/>
      <c r="T9" s="84"/>
      <c r="U9" s="92"/>
      <c r="V9" s="92"/>
      <c r="W9" s="92"/>
      <c r="X9" s="92"/>
      <c r="Y9" s="92"/>
      <c r="Z9" s="92"/>
      <c r="AA9" s="92"/>
      <c r="AB9" s="216"/>
      <c r="AC9" s="216"/>
      <c r="AD9" s="216"/>
      <c r="AE9" s="216"/>
      <c r="AF9" s="216"/>
      <c r="AG9" s="216"/>
      <c r="AH9" s="216"/>
      <c r="AI9" s="216"/>
      <c r="AJ9" s="216"/>
      <c r="AK9" s="216"/>
      <c r="AL9" s="216"/>
      <c r="AM9" s="216"/>
      <c r="AN9" s="216"/>
      <c r="AO9" s="216"/>
      <c r="AP9" s="216"/>
    </row>
    <row r="10" spans="2:42">
      <c r="B10" s="649">
        <v>8</v>
      </c>
      <c r="C10" s="617" t="s">
        <v>207</v>
      </c>
      <c r="D10" s="1041" t="s">
        <v>1712</v>
      </c>
      <c r="E10" s="1043">
        <v>1668</v>
      </c>
      <c r="F10" s="1043">
        <v>3.056</v>
      </c>
      <c r="G10" s="1043">
        <v>12.82</v>
      </c>
      <c r="H10" s="1043">
        <v>52460</v>
      </c>
      <c r="I10" s="1043">
        <v>1668</v>
      </c>
      <c r="J10" s="1043">
        <v>24030</v>
      </c>
      <c r="K10" s="1043">
        <f t="shared" si="0"/>
        <v>1668</v>
      </c>
      <c r="L10" s="1043">
        <v>24030</v>
      </c>
      <c r="M10" s="1043">
        <v>12570</v>
      </c>
      <c r="N10" s="1043">
        <f t="shared" si="1"/>
        <v>12570</v>
      </c>
      <c r="O10" s="738"/>
      <c r="P10" s="97"/>
      <c r="Q10" s="97"/>
      <c r="R10" s="92"/>
      <c r="S10" s="92"/>
      <c r="T10" s="84"/>
      <c r="U10" s="92"/>
      <c r="V10" s="92"/>
      <c r="W10" s="92"/>
      <c r="X10" s="92"/>
      <c r="Y10" s="92"/>
      <c r="Z10" s="92"/>
      <c r="AA10" s="92"/>
      <c r="AB10" s="216"/>
      <c r="AC10" s="216"/>
      <c r="AD10" s="216"/>
      <c r="AE10" s="216"/>
      <c r="AF10" s="216"/>
      <c r="AG10" s="216"/>
      <c r="AH10" s="216"/>
      <c r="AI10" s="216"/>
      <c r="AJ10" s="216"/>
      <c r="AK10" s="216"/>
      <c r="AL10" s="216"/>
      <c r="AM10" s="216"/>
      <c r="AN10" s="216"/>
      <c r="AO10" s="216"/>
      <c r="AP10" s="216"/>
    </row>
    <row r="11" spans="2:42">
      <c r="B11" s="649">
        <v>9</v>
      </c>
      <c r="C11" s="617" t="s">
        <v>208</v>
      </c>
      <c r="D11" s="1041" t="s">
        <v>1761</v>
      </c>
      <c r="E11" s="1044">
        <v>1681</v>
      </c>
      <c r="F11" s="1044">
        <v>7.907</v>
      </c>
      <c r="G11" s="1044">
        <v>64.08</v>
      </c>
      <c r="H11" s="1044">
        <v>63940</v>
      </c>
      <c r="I11" s="1044">
        <v>1681</v>
      </c>
      <c r="J11" s="1044">
        <v>29800</v>
      </c>
      <c r="K11" s="1043">
        <f t="shared" si="0"/>
        <v>1681</v>
      </c>
      <c r="L11" s="1044">
        <v>29800</v>
      </c>
      <c r="M11" s="1044">
        <v>13990</v>
      </c>
      <c r="N11" s="1043">
        <f t="shared" si="1"/>
        <v>13990</v>
      </c>
      <c r="O11" s="637"/>
      <c r="P11" s="97"/>
      <c r="Q11" s="97"/>
      <c r="R11" s="92"/>
      <c r="S11" s="92"/>
      <c r="T11" s="84"/>
      <c r="U11" s="92"/>
      <c r="V11" s="92"/>
      <c r="W11" s="92"/>
      <c r="X11" s="92"/>
      <c r="Y11" s="92"/>
      <c r="Z11" s="92"/>
      <c r="AA11" s="92"/>
      <c r="AB11" s="216"/>
      <c r="AC11" s="216"/>
      <c r="AD11" s="216"/>
      <c r="AE11" s="216"/>
      <c r="AF11" s="216"/>
      <c r="AG11" s="216"/>
      <c r="AH11" s="216"/>
      <c r="AI11" s="216"/>
      <c r="AJ11" s="216"/>
      <c r="AK11" s="216"/>
      <c r="AL11" s="216"/>
      <c r="AM11" s="216"/>
      <c r="AN11" s="216"/>
      <c r="AO11" s="216"/>
      <c r="AP11" s="216"/>
    </row>
    <row r="12" spans="2:42" s="631" customFormat="1" ht="30">
      <c r="B12" s="649">
        <v>11</v>
      </c>
      <c r="C12" s="617" t="s">
        <v>211</v>
      </c>
      <c r="D12" s="1041" t="s">
        <v>1784</v>
      </c>
      <c r="E12" s="1044">
        <v>673.5</v>
      </c>
      <c r="F12" s="1045">
        <v>131.69999999999999</v>
      </c>
      <c r="G12" s="1044">
        <v>136.80000000000001</v>
      </c>
      <c r="H12" s="1044">
        <v>17030</v>
      </c>
      <c r="I12" s="1044">
        <v>673.5</v>
      </c>
      <c r="J12" s="1044">
        <v>7680</v>
      </c>
      <c r="K12" s="1044">
        <v>673.5</v>
      </c>
      <c r="L12" s="1044">
        <v>7680</v>
      </c>
      <c r="M12" s="1044">
        <v>4480</v>
      </c>
      <c r="N12" s="1044">
        <v>4480</v>
      </c>
      <c r="O12" s="819" t="s">
        <v>2505</v>
      </c>
      <c r="P12" s="638"/>
      <c r="Q12" s="638"/>
      <c r="R12" s="591"/>
      <c r="S12" s="591"/>
      <c r="T12" s="636"/>
      <c r="U12" s="591"/>
      <c r="V12" s="591"/>
      <c r="W12" s="591"/>
      <c r="X12" s="591"/>
      <c r="Y12" s="591"/>
      <c r="Z12" s="591"/>
      <c r="AA12" s="591"/>
      <c r="AB12" s="593"/>
      <c r="AC12" s="593"/>
      <c r="AD12" s="593"/>
      <c r="AE12" s="593"/>
      <c r="AF12" s="593"/>
      <c r="AG12" s="593"/>
      <c r="AH12" s="593"/>
      <c r="AI12" s="593"/>
      <c r="AJ12" s="593"/>
      <c r="AK12" s="593"/>
      <c r="AL12" s="593"/>
      <c r="AM12" s="593"/>
      <c r="AN12" s="593"/>
      <c r="AO12" s="593"/>
      <c r="AP12" s="593"/>
    </row>
    <row r="13" spans="2:42">
      <c r="B13" s="615">
        <v>12</v>
      </c>
      <c r="C13" s="615" t="s">
        <v>338</v>
      </c>
      <c r="D13" s="1053" t="s">
        <v>1467</v>
      </c>
      <c r="E13" s="1048">
        <v>393.6</v>
      </c>
      <c r="F13" s="1048">
        <v>0.2046</v>
      </c>
      <c r="G13" s="1048">
        <v>0.21909999999999999</v>
      </c>
      <c r="H13" s="1048">
        <v>2.2400000000000002</v>
      </c>
      <c r="I13" s="1048">
        <v>393.6</v>
      </c>
      <c r="J13" s="1048">
        <v>1.99</v>
      </c>
      <c r="K13" s="1043">
        <f t="shared" ref="K13:K44" si="2">MIN(H13:J13)</f>
        <v>1.99</v>
      </c>
      <c r="L13" s="1048">
        <v>1.99</v>
      </c>
      <c r="M13" s="1048">
        <v>12.48</v>
      </c>
      <c r="N13" s="1043">
        <f t="shared" ref="N13:N44" si="3">MIN(L13:M13)</f>
        <v>1.99</v>
      </c>
      <c r="O13" s="638"/>
      <c r="P13" s="97"/>
      <c r="Q13" s="97"/>
      <c r="R13" s="92"/>
      <c r="S13" s="92"/>
      <c r="T13" s="84"/>
      <c r="U13" s="92"/>
      <c r="V13" s="92"/>
      <c r="W13" s="92"/>
      <c r="X13" s="92"/>
      <c r="Y13" s="92"/>
      <c r="Z13" s="92"/>
      <c r="AA13" s="92"/>
      <c r="AB13" s="216"/>
      <c r="AC13" s="216"/>
      <c r="AD13" s="216"/>
      <c r="AE13" s="216"/>
      <c r="AF13" s="216"/>
      <c r="AG13" s="216"/>
      <c r="AH13" s="216"/>
      <c r="AI13" s="216"/>
      <c r="AJ13" s="216"/>
      <c r="AK13" s="216"/>
      <c r="AL13" s="216"/>
      <c r="AM13" s="216"/>
      <c r="AN13" s="216"/>
      <c r="AO13" s="216"/>
      <c r="AP13" s="216"/>
    </row>
    <row r="14" spans="2:42" ht="90">
      <c r="B14" s="617">
        <v>13</v>
      </c>
      <c r="C14" s="618" t="s">
        <v>508</v>
      </c>
      <c r="D14" s="1041" t="s">
        <v>1740</v>
      </c>
      <c r="E14" s="1043">
        <v>4.4349999999999996</v>
      </c>
      <c r="F14" s="1045">
        <v>4.9859999999999998E-4</v>
      </c>
      <c r="G14" s="1045">
        <v>7.9190000000000007E-3</v>
      </c>
      <c r="H14" s="1043">
        <v>151.30000000000001</v>
      </c>
      <c r="I14" s="1043">
        <v>4.4349999999999996</v>
      </c>
      <c r="J14" s="1043">
        <v>64.87</v>
      </c>
      <c r="K14" s="1043">
        <f t="shared" si="2"/>
        <v>4.4349999999999996</v>
      </c>
      <c r="L14" s="1043">
        <v>64.87</v>
      </c>
      <c r="M14" s="1043">
        <v>29.31</v>
      </c>
      <c r="N14" s="1043">
        <f t="shared" si="3"/>
        <v>29.31</v>
      </c>
      <c r="O14" s="572" t="s">
        <v>1988</v>
      </c>
      <c r="P14" s="97"/>
      <c r="Q14" s="97"/>
      <c r="R14" s="92"/>
      <c r="S14" s="92"/>
      <c r="T14" s="84"/>
      <c r="U14" s="92"/>
      <c r="V14" s="92"/>
      <c r="W14" s="92"/>
      <c r="X14" s="92"/>
      <c r="Y14" s="92"/>
      <c r="Z14" s="92"/>
      <c r="AA14" s="92"/>
      <c r="AB14" s="216"/>
      <c r="AC14" s="216"/>
      <c r="AD14" s="216"/>
      <c r="AE14" s="216"/>
      <c r="AF14" s="216"/>
      <c r="AG14" s="216"/>
      <c r="AH14" s="216"/>
      <c r="AI14" s="216"/>
      <c r="AJ14" s="216"/>
      <c r="AK14" s="216"/>
      <c r="AL14" s="216"/>
      <c r="AM14" s="216"/>
      <c r="AN14" s="216"/>
      <c r="AO14" s="216"/>
      <c r="AP14" s="216"/>
    </row>
    <row r="15" spans="2:42">
      <c r="B15" s="624" t="s">
        <v>330</v>
      </c>
      <c r="C15" s="735" t="s">
        <v>122</v>
      </c>
      <c r="D15" s="854" t="s">
        <v>121</v>
      </c>
      <c r="E15" s="1046">
        <v>4.4349999999999996</v>
      </c>
      <c r="F15" s="1043">
        <v>4.9859999999999998E-4</v>
      </c>
      <c r="G15" s="1043">
        <v>7.9190000000000007E-3</v>
      </c>
      <c r="H15" s="1046">
        <v>151.30000000000001</v>
      </c>
      <c r="I15" s="1046">
        <v>4.4349999999999996</v>
      </c>
      <c r="J15" s="1046">
        <v>64.87</v>
      </c>
      <c r="K15" s="1046">
        <f t="shared" si="2"/>
        <v>4.4349999999999996</v>
      </c>
      <c r="L15" s="1046">
        <v>64.87</v>
      </c>
      <c r="M15" s="1046">
        <v>29.31</v>
      </c>
      <c r="N15" s="1043">
        <f t="shared" si="3"/>
        <v>29.31</v>
      </c>
      <c r="O15" s="625"/>
      <c r="P15" s="97"/>
      <c r="Q15" s="97"/>
      <c r="R15" s="216"/>
      <c r="S15" s="216"/>
      <c r="T15" s="216"/>
      <c r="U15" s="216"/>
      <c r="V15" s="216"/>
      <c r="W15" s="216"/>
      <c r="X15" s="216"/>
      <c r="Y15" s="216"/>
      <c r="Z15" s="216"/>
      <c r="AA15" s="216"/>
      <c r="AB15" s="216"/>
      <c r="AC15" s="216"/>
      <c r="AD15" s="216"/>
      <c r="AE15" s="216"/>
      <c r="AF15" s="216"/>
      <c r="AG15" s="216"/>
      <c r="AH15" s="216"/>
      <c r="AI15" s="216"/>
      <c r="AJ15" s="216"/>
      <c r="AK15" s="216"/>
      <c r="AL15" s="216"/>
      <c r="AM15" s="216"/>
      <c r="AN15" s="216"/>
      <c r="AO15" s="216"/>
      <c r="AP15" s="216"/>
    </row>
    <row r="16" spans="2:42">
      <c r="B16" s="624" t="s">
        <v>331</v>
      </c>
      <c r="C16" s="735" t="s">
        <v>125</v>
      </c>
      <c r="D16" s="854" t="s">
        <v>124</v>
      </c>
      <c r="E16" s="1046">
        <v>4.4349999999999996</v>
      </c>
      <c r="F16" s="1043">
        <v>5.9460000000000003E-4</v>
      </c>
      <c r="G16" s="1043">
        <v>2.4219999999999998E-2</v>
      </c>
      <c r="H16" s="1046">
        <v>158.19999999999999</v>
      </c>
      <c r="I16" s="1046">
        <v>4.4349999999999996</v>
      </c>
      <c r="J16" s="1046">
        <v>67.89</v>
      </c>
      <c r="K16" s="1046">
        <f t="shared" si="2"/>
        <v>4.4349999999999996</v>
      </c>
      <c r="L16" s="1046">
        <v>67.89</v>
      </c>
      <c r="M16" s="1046">
        <v>29.63</v>
      </c>
      <c r="N16" s="1043">
        <f t="shared" si="3"/>
        <v>29.63</v>
      </c>
      <c r="O16" s="638"/>
      <c r="P16" s="97"/>
      <c r="Q16" s="97"/>
      <c r="R16" s="216"/>
      <c r="S16" s="216"/>
      <c r="T16" s="216"/>
      <c r="U16" s="216"/>
      <c r="V16" s="216"/>
      <c r="W16" s="216"/>
      <c r="X16" s="216"/>
      <c r="Y16" s="216"/>
      <c r="Z16" s="216"/>
      <c r="AA16" s="216"/>
      <c r="AB16" s="216"/>
      <c r="AC16" s="216"/>
      <c r="AD16" s="216"/>
      <c r="AE16" s="216"/>
      <c r="AF16" s="216"/>
      <c r="AG16" s="216"/>
      <c r="AH16" s="216"/>
      <c r="AI16" s="216"/>
      <c r="AJ16" s="216"/>
      <c r="AK16" s="216"/>
      <c r="AL16" s="216"/>
      <c r="AM16" s="216"/>
      <c r="AN16" s="216"/>
      <c r="AO16" s="216"/>
      <c r="AP16" s="216"/>
    </row>
    <row r="17" spans="2:42">
      <c r="B17" s="624" t="s">
        <v>332</v>
      </c>
      <c r="C17" s="735" t="s">
        <v>1991</v>
      </c>
      <c r="D17" s="854" t="s">
        <v>126</v>
      </c>
      <c r="E17" s="1046">
        <v>4.4349999999999996</v>
      </c>
      <c r="F17" s="1043">
        <v>1.4189999999999999E-3</v>
      </c>
      <c r="G17" s="1043">
        <v>0.10630000000000001</v>
      </c>
      <c r="H17" s="1046">
        <v>158.5</v>
      </c>
      <c r="I17" s="1046">
        <v>4.4349999999999996</v>
      </c>
      <c r="J17" s="1046">
        <v>68.3</v>
      </c>
      <c r="K17" s="1046">
        <f t="shared" si="2"/>
        <v>4.4349999999999996</v>
      </c>
      <c r="L17" s="1046">
        <v>68.3</v>
      </c>
      <c r="M17" s="1046">
        <v>29.73</v>
      </c>
      <c r="N17" s="1043">
        <f t="shared" si="3"/>
        <v>29.73</v>
      </c>
      <c r="O17" s="637"/>
      <c r="P17" s="97"/>
      <c r="Q17" s="97"/>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row>
    <row r="18" spans="2:42">
      <c r="B18" s="624" t="s">
        <v>333</v>
      </c>
      <c r="C18" s="735" t="s">
        <v>129</v>
      </c>
      <c r="D18" s="854" t="s">
        <v>128</v>
      </c>
      <c r="E18" s="1046">
        <v>4.4349999999999996</v>
      </c>
      <c r="F18" s="1043">
        <v>7.365E-3</v>
      </c>
      <c r="G18" s="1043">
        <v>0.3967</v>
      </c>
      <c r="H18" s="1046">
        <v>158.4</v>
      </c>
      <c r="I18" s="1046">
        <v>4.4349999999999996</v>
      </c>
      <c r="J18" s="1046">
        <v>68.260000000000005</v>
      </c>
      <c r="K18" s="1046">
        <f t="shared" si="2"/>
        <v>4.4349999999999996</v>
      </c>
      <c r="L18" s="1046">
        <v>68.260000000000005</v>
      </c>
      <c r="M18" s="1046">
        <v>29.75</v>
      </c>
      <c r="N18" s="1043">
        <f t="shared" si="3"/>
        <v>29.75</v>
      </c>
      <c r="O18" s="738"/>
      <c r="P18" s="97"/>
      <c r="Q18" s="97"/>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216"/>
    </row>
    <row r="19" spans="2:42">
      <c r="B19" s="624" t="s">
        <v>334</v>
      </c>
      <c r="C19" s="735" t="s">
        <v>131</v>
      </c>
      <c r="D19" s="854" t="s">
        <v>130</v>
      </c>
      <c r="E19" s="1046">
        <v>4.4349999999999996</v>
      </c>
      <c r="F19" s="1046">
        <v>1.8940000000000001E-3</v>
      </c>
      <c r="G19" s="1046">
        <v>7.5980000000000006E-2</v>
      </c>
      <c r="H19" s="1046">
        <v>158.6</v>
      </c>
      <c r="I19" s="1046">
        <v>4.4349999999999996</v>
      </c>
      <c r="J19" s="1046">
        <v>68.37</v>
      </c>
      <c r="K19" s="1046">
        <f t="shared" si="2"/>
        <v>4.4349999999999996</v>
      </c>
      <c r="L19" s="1046">
        <v>68.37</v>
      </c>
      <c r="M19" s="1046">
        <v>29.76</v>
      </c>
      <c r="N19" s="1043">
        <f t="shared" si="3"/>
        <v>29.76</v>
      </c>
      <c r="O19" s="638"/>
      <c r="P19" s="97"/>
      <c r="Q19" s="97"/>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c r="AP19" s="216"/>
    </row>
    <row r="20" spans="2:42">
      <c r="B20" s="624" t="s">
        <v>510</v>
      </c>
      <c r="C20" s="730" t="s">
        <v>133</v>
      </c>
      <c r="D20" s="732" t="s">
        <v>132</v>
      </c>
      <c r="E20" s="1046">
        <v>4.4349999999999996</v>
      </c>
      <c r="F20" s="1046">
        <v>2.9320000000000001E-3</v>
      </c>
      <c r="G20" s="1046">
        <v>0.1278</v>
      </c>
      <c r="H20" s="1046">
        <v>158.6</v>
      </c>
      <c r="I20" s="1046">
        <v>4.4349999999999996</v>
      </c>
      <c r="J20" s="1046">
        <v>68.41</v>
      </c>
      <c r="K20" s="1046">
        <f t="shared" si="2"/>
        <v>4.4349999999999996</v>
      </c>
      <c r="L20" s="1046">
        <v>68.41</v>
      </c>
      <c r="M20" s="1046">
        <v>29.76</v>
      </c>
      <c r="N20" s="1043">
        <f t="shared" si="3"/>
        <v>29.76</v>
      </c>
      <c r="O20" s="738"/>
      <c r="P20" s="97"/>
      <c r="Q20" s="97"/>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row>
    <row r="21" spans="2:42">
      <c r="B21" s="624" t="s">
        <v>335</v>
      </c>
      <c r="C21" s="735" t="s">
        <v>135</v>
      </c>
      <c r="D21" s="732" t="s">
        <v>134</v>
      </c>
      <c r="E21" s="1046">
        <v>4.4349999999999996</v>
      </c>
      <c r="F21" s="1046">
        <v>5.9220000000000002E-3</v>
      </c>
      <c r="G21" s="1046">
        <v>0.23649999999999999</v>
      </c>
      <c r="H21" s="1046">
        <v>158.6</v>
      </c>
      <c r="I21" s="1046">
        <v>4.4349999999999996</v>
      </c>
      <c r="J21" s="1046">
        <v>68.41</v>
      </c>
      <c r="K21" s="1046">
        <f t="shared" si="2"/>
        <v>4.4349999999999996</v>
      </c>
      <c r="L21" s="1046">
        <v>68.41</v>
      </c>
      <c r="M21" s="1046">
        <v>29.77</v>
      </c>
      <c r="N21" s="1043">
        <f t="shared" si="3"/>
        <v>29.77</v>
      </c>
      <c r="O21" s="738"/>
      <c r="P21" s="97"/>
      <c r="Q21" s="97"/>
      <c r="R21" s="216"/>
      <c r="S21" s="216"/>
      <c r="T21" s="216"/>
      <c r="U21" s="216"/>
      <c r="V21" s="216"/>
      <c r="W21" s="216"/>
      <c r="X21" s="216"/>
      <c r="Y21" s="216"/>
      <c r="Z21" s="216"/>
      <c r="AA21" s="216"/>
      <c r="AB21" s="216"/>
      <c r="AC21" s="216"/>
      <c r="AD21" s="216"/>
      <c r="AE21" s="216"/>
      <c r="AF21" s="216"/>
      <c r="AG21" s="216"/>
      <c r="AH21" s="216"/>
      <c r="AI21" s="216"/>
      <c r="AJ21" s="216"/>
      <c r="AK21" s="216"/>
      <c r="AL21" s="216"/>
      <c r="AM21" s="216"/>
      <c r="AN21" s="216"/>
      <c r="AO21" s="216"/>
      <c r="AP21" s="216"/>
    </row>
    <row r="22" spans="2:42">
      <c r="B22" s="615">
        <v>14</v>
      </c>
      <c r="C22" s="615" t="s">
        <v>66</v>
      </c>
      <c r="D22" s="741" t="s">
        <v>1612</v>
      </c>
      <c r="E22" s="1046">
        <v>297.5</v>
      </c>
      <c r="F22" s="1046">
        <v>0.20569999999999999</v>
      </c>
      <c r="G22" s="1046">
        <v>0.20669999999999999</v>
      </c>
      <c r="H22" s="1046">
        <v>2.359</v>
      </c>
      <c r="I22" s="1046">
        <v>297.5</v>
      </c>
      <c r="J22" s="1046">
        <v>2.4119999999999999</v>
      </c>
      <c r="K22" s="1046">
        <f t="shared" si="2"/>
        <v>2.359</v>
      </c>
      <c r="L22" s="1046">
        <v>2.4119999999999999</v>
      </c>
      <c r="M22" s="1046">
        <v>15.48</v>
      </c>
      <c r="N22" s="1043">
        <f t="shared" si="3"/>
        <v>2.4119999999999999</v>
      </c>
      <c r="O22" s="638"/>
      <c r="P22" s="97"/>
      <c r="Q22" s="97"/>
      <c r="R22" s="92"/>
      <c r="S22" s="92"/>
      <c r="T22" s="84"/>
      <c r="U22" s="92"/>
      <c r="V22" s="92"/>
      <c r="W22" s="92"/>
      <c r="X22" s="92"/>
      <c r="Y22" s="92"/>
      <c r="Z22" s="92"/>
      <c r="AA22" s="92"/>
      <c r="AB22" s="216"/>
      <c r="AC22" s="216"/>
      <c r="AD22" s="216"/>
      <c r="AE22" s="216"/>
      <c r="AF22" s="216"/>
      <c r="AG22" s="216"/>
      <c r="AH22" s="216"/>
      <c r="AI22" s="216"/>
      <c r="AJ22" s="216"/>
      <c r="AK22" s="216"/>
      <c r="AL22" s="216"/>
      <c r="AM22" s="216"/>
      <c r="AN22" s="216"/>
      <c r="AO22" s="216"/>
      <c r="AP22" s="216"/>
    </row>
    <row r="23" spans="2:42">
      <c r="B23" s="624">
        <v>15</v>
      </c>
      <c r="C23" s="615" t="s">
        <v>71</v>
      </c>
      <c r="D23" s="741" t="s">
        <v>1479</v>
      </c>
      <c r="E23" s="1046">
        <v>41140</v>
      </c>
      <c r="F23" s="1046">
        <v>6.0119999999999996</v>
      </c>
      <c r="G23" s="1046">
        <v>6.1029999999999998</v>
      </c>
      <c r="H23" s="1046">
        <v>71.12</v>
      </c>
      <c r="I23" s="1046">
        <v>41140</v>
      </c>
      <c r="J23" s="1046">
        <v>72.53</v>
      </c>
      <c r="K23" s="1046">
        <f t="shared" si="2"/>
        <v>71.12</v>
      </c>
      <c r="L23" s="1046">
        <v>72.53</v>
      </c>
      <c r="M23" s="1046">
        <v>459.4</v>
      </c>
      <c r="N23" s="1043">
        <f t="shared" si="3"/>
        <v>72.53</v>
      </c>
      <c r="O23" s="649"/>
      <c r="P23" s="97"/>
      <c r="Q23" s="97"/>
      <c r="R23" s="92"/>
      <c r="S23" s="92"/>
      <c r="T23" s="84"/>
      <c r="U23" s="92"/>
      <c r="V23" s="92"/>
      <c r="W23" s="92"/>
      <c r="X23" s="92"/>
      <c r="Y23" s="92"/>
      <c r="Z23" s="92"/>
      <c r="AA23" s="92"/>
      <c r="AB23" s="216"/>
      <c r="AC23" s="216"/>
      <c r="AD23" s="216"/>
      <c r="AE23" s="216"/>
      <c r="AF23" s="216"/>
      <c r="AG23" s="216"/>
      <c r="AH23" s="216"/>
      <c r="AI23" s="216"/>
      <c r="AJ23" s="216"/>
      <c r="AK23" s="216"/>
      <c r="AL23" s="216"/>
      <c r="AM23" s="216"/>
      <c r="AN23" s="216"/>
      <c r="AO23" s="216"/>
      <c r="AP23" s="216"/>
    </row>
    <row r="24" spans="2:42">
      <c r="B24" s="615">
        <v>16</v>
      </c>
      <c r="C24" s="615" t="s">
        <v>72</v>
      </c>
      <c r="D24" s="741" t="s">
        <v>1483</v>
      </c>
      <c r="E24" s="1046">
        <v>195200</v>
      </c>
      <c r="F24" s="1046">
        <v>10.78</v>
      </c>
      <c r="G24" s="1046">
        <v>10.82</v>
      </c>
      <c r="H24" s="1046">
        <v>123.3</v>
      </c>
      <c r="I24" s="1046">
        <v>195200</v>
      </c>
      <c r="J24" s="1046">
        <v>126.3</v>
      </c>
      <c r="K24" s="1046">
        <f t="shared" si="2"/>
        <v>123.3</v>
      </c>
      <c r="L24" s="1046">
        <v>126.3</v>
      </c>
      <c r="M24" s="1046">
        <v>819</v>
      </c>
      <c r="N24" s="1043">
        <f t="shared" si="3"/>
        <v>126.3</v>
      </c>
      <c r="O24" s="736"/>
      <c r="P24" s="97"/>
      <c r="Q24" s="97"/>
      <c r="R24" s="92"/>
      <c r="S24" s="92"/>
      <c r="T24" s="84"/>
      <c r="U24" s="92"/>
      <c r="V24" s="92"/>
      <c r="W24" s="92"/>
      <c r="X24" s="92"/>
      <c r="Y24" s="92"/>
      <c r="Z24" s="92"/>
      <c r="AA24" s="92"/>
      <c r="AB24" s="216"/>
      <c r="AC24" s="216"/>
      <c r="AD24" s="216"/>
      <c r="AE24" s="216"/>
      <c r="AF24" s="216"/>
      <c r="AG24" s="216"/>
      <c r="AH24" s="216"/>
      <c r="AI24" s="216"/>
      <c r="AJ24" s="216"/>
      <c r="AK24" s="216"/>
      <c r="AL24" s="216"/>
      <c r="AM24" s="216"/>
      <c r="AN24" s="216"/>
      <c r="AO24" s="216"/>
      <c r="AP24" s="216"/>
    </row>
    <row r="25" spans="2:42">
      <c r="B25" s="624">
        <v>17</v>
      </c>
      <c r="C25" s="615" t="s">
        <v>73</v>
      </c>
      <c r="D25" s="741" t="s">
        <v>1484</v>
      </c>
      <c r="E25" s="1046">
        <v>345.1</v>
      </c>
      <c r="F25" s="1046">
        <v>0.31340000000000001</v>
      </c>
      <c r="G25" s="1046">
        <v>0.36420000000000002</v>
      </c>
      <c r="H25" s="1046">
        <v>4.819</v>
      </c>
      <c r="I25" s="1046">
        <v>345.1</v>
      </c>
      <c r="J25" s="1046">
        <v>3.9969999999999999</v>
      </c>
      <c r="K25" s="1046">
        <f t="shared" si="2"/>
        <v>3.9969999999999999</v>
      </c>
      <c r="L25" s="1046">
        <v>3.9969999999999999</v>
      </c>
      <c r="M25" s="1046">
        <v>18.37</v>
      </c>
      <c r="N25" s="1043">
        <f t="shared" si="3"/>
        <v>3.9969999999999999</v>
      </c>
      <c r="O25" s="737"/>
      <c r="P25" s="97"/>
      <c r="Q25" s="97"/>
      <c r="R25" s="92"/>
      <c r="S25" s="92"/>
      <c r="T25" s="84"/>
      <c r="U25" s="92"/>
      <c r="V25" s="92"/>
      <c r="W25" s="92"/>
      <c r="X25" s="92"/>
      <c r="Y25" s="92"/>
      <c r="Z25" s="92"/>
      <c r="AA25" s="92"/>
      <c r="AB25" s="216"/>
      <c r="AC25" s="216"/>
      <c r="AD25" s="216"/>
      <c r="AE25" s="216"/>
      <c r="AF25" s="216"/>
      <c r="AG25" s="216"/>
      <c r="AH25" s="216"/>
      <c r="AI25" s="216"/>
      <c r="AJ25" s="216"/>
      <c r="AK25" s="216"/>
      <c r="AL25" s="216"/>
      <c r="AM25" s="216"/>
      <c r="AN25" s="216"/>
      <c r="AO25" s="216"/>
      <c r="AP25" s="216"/>
    </row>
    <row r="26" spans="2:42" ht="60">
      <c r="B26" s="624">
        <v>18</v>
      </c>
      <c r="C26" s="617" t="s">
        <v>85</v>
      </c>
      <c r="D26" s="741" t="s">
        <v>1471</v>
      </c>
      <c r="E26" s="1042">
        <v>2587</v>
      </c>
      <c r="F26" s="1042">
        <v>35.380000000000003</v>
      </c>
      <c r="G26" s="1042">
        <v>49.36</v>
      </c>
      <c r="H26" s="1042">
        <v>85080</v>
      </c>
      <c r="I26" s="1042">
        <v>2587</v>
      </c>
      <c r="J26" s="1042">
        <v>37260</v>
      </c>
      <c r="K26" s="1046">
        <f t="shared" si="2"/>
        <v>2587</v>
      </c>
      <c r="L26" s="1042">
        <v>37260</v>
      </c>
      <c r="M26" s="1042">
        <v>20160</v>
      </c>
      <c r="N26" s="1043">
        <f t="shared" si="3"/>
        <v>20160</v>
      </c>
      <c r="O26" s="733" t="s">
        <v>2039</v>
      </c>
      <c r="P26" s="97"/>
      <c r="Q26" s="97"/>
      <c r="R26" s="92"/>
      <c r="S26" s="92"/>
      <c r="T26" s="84"/>
      <c r="U26" s="92"/>
      <c r="V26" s="92"/>
      <c r="W26" s="92"/>
      <c r="X26" s="92"/>
      <c r="Y26" s="92"/>
      <c r="Z26" s="92"/>
      <c r="AA26" s="92"/>
      <c r="AB26" s="216"/>
      <c r="AC26" s="216"/>
      <c r="AD26" s="216"/>
      <c r="AE26" s="216"/>
      <c r="AF26" s="216"/>
      <c r="AG26" s="216"/>
      <c r="AH26" s="216"/>
      <c r="AI26" s="216"/>
      <c r="AJ26" s="216"/>
      <c r="AK26" s="216"/>
      <c r="AL26" s="216"/>
      <c r="AM26" s="216"/>
      <c r="AN26" s="216"/>
      <c r="AO26" s="216"/>
      <c r="AP26" s="216"/>
    </row>
    <row r="27" spans="2:42" s="311" customFormat="1">
      <c r="B27" s="615">
        <v>19</v>
      </c>
      <c r="C27" s="615" t="s">
        <v>86</v>
      </c>
      <c r="D27" s="741" t="s">
        <v>1472</v>
      </c>
      <c r="E27" s="1046">
        <v>766.9</v>
      </c>
      <c r="F27" s="1046">
        <v>3.0449999999999999</v>
      </c>
      <c r="G27" s="1046">
        <v>3.6389999999999998</v>
      </c>
      <c r="H27" s="1046">
        <v>68.13</v>
      </c>
      <c r="I27" s="1046">
        <v>766.9</v>
      </c>
      <c r="J27" s="1046">
        <v>66.92</v>
      </c>
      <c r="K27" s="1046">
        <f t="shared" si="2"/>
        <v>66.92</v>
      </c>
      <c r="L27" s="1046">
        <v>66.92</v>
      </c>
      <c r="M27" s="1046">
        <v>338.4</v>
      </c>
      <c r="N27" s="1043">
        <f t="shared" si="3"/>
        <v>66.92</v>
      </c>
      <c r="O27" s="97"/>
      <c r="P27" s="97"/>
      <c r="Q27" s="97"/>
      <c r="R27" s="92"/>
      <c r="S27" s="92"/>
      <c r="T27" s="84"/>
      <c r="U27" s="92"/>
      <c r="V27" s="92"/>
      <c r="W27" s="92"/>
      <c r="X27" s="92"/>
      <c r="Y27" s="92"/>
      <c r="Z27" s="92"/>
      <c r="AA27" s="92"/>
      <c r="AB27" s="216"/>
      <c r="AC27" s="216"/>
      <c r="AD27" s="216"/>
      <c r="AE27" s="216"/>
      <c r="AF27" s="216"/>
      <c r="AG27" s="216"/>
      <c r="AH27" s="216"/>
      <c r="AI27" s="216"/>
      <c r="AJ27" s="216"/>
      <c r="AK27" s="216"/>
      <c r="AL27" s="216"/>
      <c r="AM27" s="216"/>
      <c r="AN27" s="216"/>
      <c r="AO27" s="216"/>
      <c r="AP27" s="216"/>
    </row>
    <row r="28" spans="2:42" s="311" customFormat="1" ht="60">
      <c r="B28" s="624">
        <v>20</v>
      </c>
      <c r="C28" s="617" t="s">
        <v>87</v>
      </c>
      <c r="D28" s="741" t="s">
        <v>1480</v>
      </c>
      <c r="E28" s="1042">
        <v>2560</v>
      </c>
      <c r="F28" s="1042">
        <v>10.02</v>
      </c>
      <c r="G28" s="1042">
        <v>10.64</v>
      </c>
      <c r="H28" s="1042">
        <v>139.30000000000001</v>
      </c>
      <c r="I28" s="1042">
        <v>2560</v>
      </c>
      <c r="J28" s="1042">
        <v>141.5</v>
      </c>
      <c r="K28" s="1046">
        <f t="shared" si="2"/>
        <v>139.30000000000001</v>
      </c>
      <c r="L28" s="1042">
        <v>141.5</v>
      </c>
      <c r="M28" s="1042">
        <v>15210</v>
      </c>
      <c r="N28" s="1043">
        <f t="shared" si="3"/>
        <v>141.5</v>
      </c>
      <c r="O28" s="733" t="s">
        <v>2039</v>
      </c>
      <c r="P28" s="97"/>
      <c r="Q28" s="97"/>
      <c r="R28" s="92"/>
      <c r="S28" s="92"/>
      <c r="T28" s="84"/>
      <c r="U28" s="92"/>
      <c r="V28" s="92"/>
      <c r="W28" s="92"/>
      <c r="X28" s="92"/>
      <c r="Y28" s="92"/>
      <c r="Z28" s="92"/>
      <c r="AA28" s="92"/>
      <c r="AB28" s="216"/>
      <c r="AC28" s="216"/>
      <c r="AD28" s="216"/>
      <c r="AE28" s="216"/>
      <c r="AF28" s="216"/>
      <c r="AG28" s="216"/>
      <c r="AH28" s="216"/>
      <c r="AI28" s="216"/>
      <c r="AJ28" s="216"/>
      <c r="AK28" s="216"/>
      <c r="AL28" s="216"/>
      <c r="AM28" s="216"/>
      <c r="AN28" s="216"/>
      <c r="AO28" s="216"/>
      <c r="AP28" s="216"/>
    </row>
    <row r="29" spans="2:42" s="311" customFormat="1">
      <c r="B29" s="257">
        <v>21</v>
      </c>
      <c r="C29" s="257" t="s">
        <v>115</v>
      </c>
      <c r="D29" s="741" t="s">
        <v>1469</v>
      </c>
      <c r="E29" s="1046">
        <v>1669</v>
      </c>
      <c r="F29" s="1046">
        <v>10.83</v>
      </c>
      <c r="G29" s="1046">
        <v>11.94</v>
      </c>
      <c r="H29" s="1046">
        <v>169.4</v>
      </c>
      <c r="I29" s="1046">
        <v>1669</v>
      </c>
      <c r="J29" s="1046">
        <v>170.8</v>
      </c>
      <c r="K29" s="1046">
        <f t="shared" si="2"/>
        <v>169.4</v>
      </c>
      <c r="L29" s="1046">
        <v>170.8</v>
      </c>
      <c r="M29" s="1046">
        <v>6743</v>
      </c>
      <c r="N29" s="1043">
        <f t="shared" si="3"/>
        <v>170.8</v>
      </c>
      <c r="O29" s="649"/>
      <c r="P29" s="97"/>
      <c r="Q29" s="97"/>
      <c r="R29" s="92"/>
      <c r="S29" s="92"/>
      <c r="T29" s="84"/>
      <c r="U29" s="92"/>
      <c r="V29" s="92"/>
      <c r="W29" s="92"/>
      <c r="X29" s="92"/>
      <c r="Y29" s="92"/>
      <c r="Z29" s="92"/>
      <c r="AA29" s="92"/>
      <c r="AB29" s="216"/>
      <c r="AC29" s="216"/>
      <c r="AD29" s="216"/>
      <c r="AE29" s="216"/>
      <c r="AF29" s="216"/>
      <c r="AG29" s="216"/>
      <c r="AH29" s="216"/>
      <c r="AI29" s="216"/>
      <c r="AJ29" s="216"/>
      <c r="AK29" s="216"/>
      <c r="AL29" s="216"/>
      <c r="AM29" s="216"/>
      <c r="AN29" s="216"/>
      <c r="AO29" s="216"/>
      <c r="AP29" s="216"/>
    </row>
    <row r="30" spans="2:42" s="311" customFormat="1">
      <c r="B30" s="257">
        <v>23</v>
      </c>
      <c r="C30" s="257" t="s">
        <v>117</v>
      </c>
      <c r="D30" s="741" t="s">
        <v>1742</v>
      </c>
      <c r="E30" s="1046">
        <v>400.5</v>
      </c>
      <c r="F30" s="1046">
        <v>11.76</v>
      </c>
      <c r="G30" s="1046">
        <v>19.78</v>
      </c>
      <c r="H30" s="1046">
        <v>11080</v>
      </c>
      <c r="I30" s="1046">
        <v>400.5</v>
      </c>
      <c r="J30" s="1046">
        <v>4506</v>
      </c>
      <c r="K30" s="1046">
        <f t="shared" si="2"/>
        <v>400.5</v>
      </c>
      <c r="L30" s="1046">
        <v>4506</v>
      </c>
      <c r="M30" s="1046">
        <v>2316</v>
      </c>
      <c r="N30" s="1043">
        <f t="shared" si="3"/>
        <v>2316</v>
      </c>
      <c r="O30" s="737"/>
      <c r="P30" s="97"/>
      <c r="Q30" s="97"/>
      <c r="R30" s="92"/>
      <c r="S30" s="92"/>
      <c r="T30" s="84"/>
      <c r="U30" s="92"/>
      <c r="V30" s="92"/>
      <c r="W30" s="92"/>
      <c r="X30" s="92"/>
      <c r="Y30" s="92"/>
      <c r="Z30" s="92"/>
      <c r="AA30" s="92"/>
      <c r="AB30" s="216"/>
      <c r="AC30" s="216"/>
      <c r="AD30" s="216"/>
      <c r="AE30" s="216"/>
      <c r="AF30" s="216"/>
      <c r="AG30" s="216"/>
      <c r="AH30" s="216"/>
      <c r="AI30" s="216"/>
      <c r="AJ30" s="216"/>
      <c r="AK30" s="216"/>
      <c r="AL30" s="216"/>
      <c r="AM30" s="216"/>
      <c r="AN30" s="216"/>
      <c r="AO30" s="216"/>
      <c r="AP30" s="216"/>
    </row>
    <row r="31" spans="2:42" s="311" customFormat="1">
      <c r="B31" s="257">
        <v>24</v>
      </c>
      <c r="C31" s="257" t="s">
        <v>118</v>
      </c>
      <c r="D31" s="741" t="s">
        <v>1680</v>
      </c>
      <c r="E31" s="1046">
        <v>12.19</v>
      </c>
      <c r="F31" s="1046">
        <v>0.22539999999999999</v>
      </c>
      <c r="G31" s="1046">
        <v>0.7036</v>
      </c>
      <c r="H31" s="1046">
        <v>236.8</v>
      </c>
      <c r="I31" s="1046">
        <v>12.19</v>
      </c>
      <c r="J31" s="1046">
        <v>43.17</v>
      </c>
      <c r="K31" s="1046">
        <f t="shared" si="2"/>
        <v>12.19</v>
      </c>
      <c r="L31" s="1046">
        <v>43.17</v>
      </c>
      <c r="M31" s="1046">
        <v>20.51</v>
      </c>
      <c r="N31" s="1043">
        <f t="shared" si="3"/>
        <v>20.51</v>
      </c>
      <c r="O31" s="97"/>
      <c r="P31" s="97"/>
      <c r="Q31" s="97"/>
      <c r="R31" s="92"/>
      <c r="S31" s="92"/>
      <c r="T31" s="84"/>
      <c r="U31" s="92"/>
      <c r="V31" s="92"/>
      <c r="W31" s="92"/>
      <c r="X31" s="92"/>
      <c r="Y31" s="92"/>
      <c r="Z31" s="92"/>
      <c r="AA31" s="92"/>
      <c r="AB31" s="216"/>
      <c r="AC31" s="216"/>
      <c r="AD31" s="216"/>
      <c r="AE31" s="216"/>
      <c r="AF31" s="216"/>
      <c r="AG31" s="216"/>
      <c r="AH31" s="216"/>
      <c r="AI31" s="216"/>
      <c r="AJ31" s="216"/>
      <c r="AK31" s="216"/>
      <c r="AL31" s="216"/>
      <c r="AM31" s="216"/>
      <c r="AN31" s="216"/>
      <c r="AO31" s="216"/>
      <c r="AP31" s="216"/>
    </row>
    <row r="32" spans="2:42" ht="45">
      <c r="B32" s="649">
        <v>25</v>
      </c>
      <c r="C32" s="617" t="s">
        <v>88</v>
      </c>
      <c r="D32" s="741" t="s">
        <v>1623</v>
      </c>
      <c r="E32" s="1045">
        <v>16770</v>
      </c>
      <c r="F32" s="1045">
        <v>25.25</v>
      </c>
      <c r="G32" s="1045">
        <v>39.049999999999997</v>
      </c>
      <c r="H32" s="1045">
        <v>637600</v>
      </c>
      <c r="I32" s="1045">
        <v>16770</v>
      </c>
      <c r="J32" s="1045">
        <v>3275</v>
      </c>
      <c r="K32" s="1049">
        <f t="shared" si="2"/>
        <v>3275</v>
      </c>
      <c r="L32" s="1045">
        <v>3275</v>
      </c>
      <c r="M32" s="1045">
        <v>3283</v>
      </c>
      <c r="N32" s="1045">
        <f t="shared" si="3"/>
        <v>3275</v>
      </c>
      <c r="O32" s="814" t="s">
        <v>2199</v>
      </c>
      <c r="P32" s="97"/>
      <c r="Q32" s="97"/>
      <c r="R32" s="92"/>
      <c r="S32" s="92"/>
      <c r="T32" s="84"/>
      <c r="U32" s="92"/>
      <c r="V32" s="92"/>
      <c r="W32" s="92"/>
      <c r="X32" s="92"/>
      <c r="Y32" s="92"/>
      <c r="Z32" s="92"/>
      <c r="AA32" s="92"/>
      <c r="AB32" s="216"/>
      <c r="AC32" s="216"/>
      <c r="AD32" s="216"/>
      <c r="AE32" s="216"/>
      <c r="AF32" s="216"/>
      <c r="AG32" s="216"/>
      <c r="AH32" s="216"/>
      <c r="AI32" s="216"/>
      <c r="AJ32" s="216"/>
      <c r="AK32" s="216"/>
      <c r="AL32" s="216"/>
      <c r="AM32" s="216"/>
      <c r="AN32" s="216"/>
      <c r="AO32" s="216"/>
      <c r="AP32" s="216"/>
    </row>
    <row r="33" spans="2:44" s="311" customFormat="1" ht="45">
      <c r="B33" s="649">
        <v>26</v>
      </c>
      <c r="C33" s="617" t="s">
        <v>89</v>
      </c>
      <c r="D33" s="741" t="s">
        <v>1622</v>
      </c>
      <c r="E33" s="1045">
        <v>16770</v>
      </c>
      <c r="F33" s="1045">
        <v>24.46</v>
      </c>
      <c r="G33" s="1045">
        <v>38.590000000000003</v>
      </c>
      <c r="H33" s="1045">
        <v>705200</v>
      </c>
      <c r="I33" s="1045">
        <v>16770</v>
      </c>
      <c r="J33" s="1045">
        <v>3357</v>
      </c>
      <c r="K33" s="1049">
        <f t="shared" si="2"/>
        <v>3357</v>
      </c>
      <c r="L33" s="1045">
        <v>3357</v>
      </c>
      <c r="M33" s="1045">
        <v>3341</v>
      </c>
      <c r="N33" s="1045">
        <f t="shared" si="3"/>
        <v>3341</v>
      </c>
      <c r="O33" s="814" t="s">
        <v>2199</v>
      </c>
      <c r="P33" s="97"/>
      <c r="Q33" s="97"/>
      <c r="R33" s="92"/>
      <c r="S33" s="92"/>
      <c r="T33" s="84"/>
      <c r="U33" s="92"/>
      <c r="V33" s="92"/>
      <c r="W33" s="92"/>
      <c r="X33" s="92"/>
      <c r="Y33" s="92"/>
      <c r="Z33" s="92"/>
      <c r="AA33" s="92"/>
      <c r="AB33" s="216"/>
      <c r="AC33" s="216"/>
      <c r="AD33" s="216"/>
      <c r="AE33" s="216"/>
      <c r="AF33" s="216"/>
      <c r="AG33" s="216"/>
      <c r="AH33" s="216"/>
      <c r="AI33" s="216"/>
      <c r="AJ33" s="216"/>
      <c r="AK33" s="216"/>
      <c r="AL33" s="216"/>
      <c r="AM33" s="216"/>
      <c r="AN33" s="216"/>
      <c r="AO33" s="216"/>
      <c r="AP33" s="216"/>
    </row>
    <row r="34" spans="2:44" s="529" customFormat="1" ht="45">
      <c r="B34" s="649">
        <v>27</v>
      </c>
      <c r="C34" s="617" t="s">
        <v>90</v>
      </c>
      <c r="D34" s="741" t="s">
        <v>1621</v>
      </c>
      <c r="E34" s="1045">
        <v>6717</v>
      </c>
      <c r="F34" s="1045">
        <v>9.3239999999999998</v>
      </c>
      <c r="G34" s="1045">
        <v>15.09</v>
      </c>
      <c r="H34" s="1045">
        <v>290500</v>
      </c>
      <c r="I34" s="1045">
        <v>6717</v>
      </c>
      <c r="J34" s="1045">
        <v>121200</v>
      </c>
      <c r="K34" s="1049">
        <f t="shared" si="2"/>
        <v>6717</v>
      </c>
      <c r="L34" s="1045">
        <v>121200</v>
      </c>
      <c r="M34" s="1045">
        <v>55850</v>
      </c>
      <c r="N34" s="1045">
        <f t="shared" si="3"/>
        <v>55850</v>
      </c>
      <c r="O34" s="814" t="s">
        <v>2199</v>
      </c>
      <c r="P34" s="459"/>
      <c r="Q34" s="459"/>
      <c r="R34" s="459"/>
      <c r="S34" s="92"/>
      <c r="T34" s="92"/>
      <c r="U34" s="84"/>
      <c r="V34" s="92"/>
      <c r="W34" s="92"/>
      <c r="X34" s="92"/>
      <c r="Y34" s="92"/>
      <c r="Z34" s="92"/>
      <c r="AA34" s="92"/>
      <c r="AB34" s="92"/>
      <c r="AC34" s="216"/>
      <c r="AD34" s="216"/>
      <c r="AE34" s="216"/>
      <c r="AF34" s="216"/>
      <c r="AG34" s="216"/>
      <c r="AH34" s="216"/>
      <c r="AI34" s="216"/>
      <c r="AJ34" s="216"/>
      <c r="AK34" s="216"/>
      <c r="AL34" s="216"/>
      <c r="AM34" s="216"/>
      <c r="AN34" s="216"/>
      <c r="AO34" s="216"/>
      <c r="AP34" s="216"/>
      <c r="AQ34" s="216"/>
    </row>
    <row r="35" spans="2:44" ht="16.899999999999999" customHeight="1">
      <c r="B35" s="649">
        <v>28</v>
      </c>
      <c r="C35" s="618" t="s">
        <v>340</v>
      </c>
      <c r="D35" s="741" t="s">
        <v>1766</v>
      </c>
      <c r="E35" s="1045">
        <v>6717</v>
      </c>
      <c r="F35" s="1045">
        <v>9.3239999999999998</v>
      </c>
      <c r="G35" s="1045">
        <v>15.09</v>
      </c>
      <c r="H35" s="1045">
        <v>290500</v>
      </c>
      <c r="I35" s="1045">
        <v>6717</v>
      </c>
      <c r="J35" s="1045">
        <v>3275</v>
      </c>
      <c r="K35" s="1049">
        <f t="shared" si="2"/>
        <v>3275</v>
      </c>
      <c r="L35" s="1045">
        <v>3275</v>
      </c>
      <c r="M35" s="1045">
        <v>3283</v>
      </c>
      <c r="N35" s="1045">
        <f t="shared" si="3"/>
        <v>3275</v>
      </c>
      <c r="O35" s="812" t="s">
        <v>2200</v>
      </c>
      <c r="P35" s="97"/>
      <c r="Q35" s="97"/>
      <c r="R35" s="92"/>
      <c r="S35" s="92"/>
      <c r="T35" s="84"/>
      <c r="U35" s="92"/>
      <c r="V35" s="92"/>
      <c r="W35" s="92"/>
      <c r="X35" s="92"/>
      <c r="Y35" s="92"/>
      <c r="Z35" s="92"/>
      <c r="AA35" s="92"/>
      <c r="AB35" s="216"/>
      <c r="AC35" s="216"/>
      <c r="AD35" s="216"/>
      <c r="AE35" s="216"/>
      <c r="AF35" s="216"/>
      <c r="AG35" s="216"/>
      <c r="AH35" s="216"/>
      <c r="AI35" s="216"/>
      <c r="AJ35" s="216"/>
      <c r="AK35" s="216"/>
      <c r="AL35" s="216"/>
      <c r="AM35" s="216"/>
      <c r="AN35" s="216"/>
      <c r="AO35" s="216"/>
      <c r="AP35" s="216"/>
    </row>
    <row r="36" spans="2:44">
      <c r="B36" s="615">
        <v>33</v>
      </c>
      <c r="C36" s="615" t="s">
        <v>95</v>
      </c>
      <c r="D36" s="741" t="s">
        <v>1510</v>
      </c>
      <c r="E36" s="1046">
        <v>2453</v>
      </c>
      <c r="F36" s="1046">
        <v>3.262</v>
      </c>
      <c r="G36" s="1046">
        <v>4.8970000000000002</v>
      </c>
      <c r="H36" s="1046">
        <v>1067</v>
      </c>
      <c r="I36" s="1046">
        <v>2453</v>
      </c>
      <c r="J36" s="1046">
        <v>1056</v>
      </c>
      <c r="K36" s="1046">
        <f t="shared" si="2"/>
        <v>1056</v>
      </c>
      <c r="L36" s="1046">
        <v>1056</v>
      </c>
      <c r="M36" s="1046">
        <v>4591</v>
      </c>
      <c r="N36" s="1043">
        <f t="shared" si="3"/>
        <v>1056</v>
      </c>
      <c r="O36" s="638"/>
      <c r="P36" s="97"/>
      <c r="Q36" s="97"/>
      <c r="R36" s="107"/>
      <c r="S36" s="110"/>
      <c r="T36" s="108"/>
      <c r="U36" s="92"/>
      <c r="V36" s="109"/>
      <c r="W36" s="109"/>
      <c r="X36" s="107"/>
      <c r="Y36" s="92"/>
      <c r="Z36" s="109"/>
      <c r="AA36" s="107"/>
      <c r="AB36" s="216"/>
      <c r="AC36" s="216"/>
      <c r="AD36" s="216"/>
      <c r="AE36" s="216"/>
      <c r="AF36" s="216"/>
      <c r="AG36" s="216"/>
      <c r="AH36" s="216"/>
      <c r="AI36" s="216"/>
      <c r="AJ36" s="216"/>
      <c r="AK36" s="216"/>
      <c r="AL36" s="216"/>
      <c r="AM36" s="216"/>
      <c r="AN36" s="216"/>
      <c r="AO36" s="216"/>
      <c r="AP36" s="216"/>
    </row>
    <row r="37" spans="2:44">
      <c r="B37" s="615">
        <v>36</v>
      </c>
      <c r="C37" s="615" t="s">
        <v>1463</v>
      </c>
      <c r="D37" s="741" t="s">
        <v>1499</v>
      </c>
      <c r="E37" s="1046">
        <v>1501</v>
      </c>
      <c r="F37" s="1046">
        <v>9.3049999999999997</v>
      </c>
      <c r="G37" s="1046">
        <v>14.21</v>
      </c>
      <c r="H37" s="1046">
        <v>7817</v>
      </c>
      <c r="I37" s="1046">
        <v>1501</v>
      </c>
      <c r="J37" s="1046">
        <v>4726</v>
      </c>
      <c r="K37" s="1046">
        <f t="shared" si="2"/>
        <v>1501</v>
      </c>
      <c r="L37" s="1046">
        <v>4726</v>
      </c>
      <c r="M37" s="1046">
        <v>5526</v>
      </c>
      <c r="N37" s="1043">
        <f t="shared" si="3"/>
        <v>4726</v>
      </c>
      <c r="O37" s="638"/>
      <c r="P37" s="97"/>
      <c r="Q37" s="97"/>
      <c r="R37" s="107"/>
      <c r="S37" s="92"/>
      <c r="T37" s="108"/>
      <c r="U37" s="92"/>
      <c r="V37" s="109"/>
      <c r="W37" s="109"/>
      <c r="X37" s="107"/>
      <c r="Y37" s="92"/>
      <c r="Z37" s="109"/>
      <c r="AA37" s="107"/>
      <c r="AB37" s="216"/>
      <c r="AC37" s="216"/>
      <c r="AD37" s="216"/>
      <c r="AE37" s="216"/>
      <c r="AF37" s="216"/>
      <c r="AG37" s="216"/>
      <c r="AH37" s="216"/>
      <c r="AI37" s="216"/>
      <c r="AJ37" s="216"/>
      <c r="AK37" s="216"/>
      <c r="AL37" s="216"/>
      <c r="AM37" s="216"/>
      <c r="AN37" s="216"/>
      <c r="AO37" s="216"/>
      <c r="AP37" s="216"/>
    </row>
    <row r="38" spans="2:44">
      <c r="B38" s="615">
        <v>42</v>
      </c>
      <c r="C38" s="615" t="s">
        <v>104</v>
      </c>
      <c r="D38" s="741" t="s">
        <v>1495</v>
      </c>
      <c r="E38" s="1046">
        <v>50100</v>
      </c>
      <c r="F38" s="1046">
        <v>896.5</v>
      </c>
      <c r="G38" s="1046">
        <v>1329</v>
      </c>
      <c r="H38" s="1046">
        <v>1000000</v>
      </c>
      <c r="I38" s="1046">
        <v>50100</v>
      </c>
      <c r="J38" s="1046">
        <v>609300</v>
      </c>
      <c r="K38" s="1046">
        <f t="shared" si="2"/>
        <v>50100</v>
      </c>
      <c r="L38" s="1046">
        <v>609300</v>
      </c>
      <c r="M38" s="1046">
        <v>269300</v>
      </c>
      <c r="N38" s="1043">
        <f t="shared" si="3"/>
        <v>269300</v>
      </c>
      <c r="O38" s="638"/>
      <c r="P38" s="97"/>
      <c r="Q38" s="97"/>
      <c r="R38" s="107"/>
      <c r="S38" s="92"/>
      <c r="T38" s="108"/>
      <c r="U38" s="92"/>
      <c r="V38" s="109"/>
      <c r="W38" s="109"/>
      <c r="X38" s="107"/>
      <c r="Y38" s="92"/>
      <c r="Z38" s="109"/>
      <c r="AA38" s="107"/>
      <c r="AB38" s="216"/>
      <c r="AC38" s="216"/>
      <c r="AD38" s="216"/>
      <c r="AE38" s="216"/>
      <c r="AF38" s="216"/>
      <c r="AG38" s="216"/>
      <c r="AH38" s="216"/>
      <c r="AI38" s="216"/>
      <c r="AJ38" s="216"/>
      <c r="AK38" s="216"/>
      <c r="AL38" s="216"/>
      <c r="AM38" s="216"/>
      <c r="AN38" s="216"/>
      <c r="AO38" s="216"/>
      <c r="AP38" s="216"/>
    </row>
    <row r="39" spans="2:44">
      <c r="B39" s="615">
        <v>43</v>
      </c>
      <c r="C39" s="615" t="s">
        <v>105</v>
      </c>
      <c r="D39" s="741" t="s">
        <v>1496</v>
      </c>
      <c r="E39" s="1046">
        <v>313.7</v>
      </c>
      <c r="F39" s="1046">
        <v>1.905</v>
      </c>
      <c r="G39" s="1046">
        <v>2.915</v>
      </c>
      <c r="H39" s="1046">
        <v>5133</v>
      </c>
      <c r="I39" s="1046">
        <v>313.7</v>
      </c>
      <c r="J39" s="1046">
        <v>393.5</v>
      </c>
      <c r="K39" s="1046">
        <f t="shared" si="2"/>
        <v>313.7</v>
      </c>
      <c r="L39" s="1046">
        <v>3935</v>
      </c>
      <c r="M39" s="1046">
        <v>281.2</v>
      </c>
      <c r="N39" s="1043">
        <f t="shared" si="3"/>
        <v>281.2</v>
      </c>
      <c r="O39" s="638"/>
      <c r="P39" s="97"/>
      <c r="Q39" s="97"/>
      <c r="R39" s="107"/>
      <c r="S39" s="92"/>
      <c r="T39" s="108"/>
      <c r="U39" s="92"/>
      <c r="V39" s="109"/>
      <c r="W39" s="109"/>
      <c r="X39" s="107"/>
      <c r="Y39" s="92"/>
      <c r="Z39" s="109"/>
      <c r="AA39" s="107"/>
      <c r="AB39" s="216"/>
      <c r="AC39" s="216"/>
      <c r="AD39" s="216"/>
      <c r="AE39" s="216"/>
      <c r="AF39" s="216"/>
      <c r="AG39" s="216"/>
      <c r="AH39" s="216"/>
      <c r="AI39" s="216"/>
      <c r="AJ39" s="216"/>
      <c r="AK39" s="216"/>
      <c r="AL39" s="216"/>
      <c r="AM39" s="216"/>
      <c r="AN39" s="216"/>
      <c r="AO39" s="216"/>
      <c r="AP39" s="216"/>
    </row>
    <row r="40" spans="2:44">
      <c r="B40" s="615">
        <v>46</v>
      </c>
      <c r="C40" s="615" t="s">
        <v>108</v>
      </c>
      <c r="D40" s="741" t="s">
        <v>1488</v>
      </c>
      <c r="E40" s="1046">
        <v>5016</v>
      </c>
      <c r="F40" s="1046">
        <v>184.8</v>
      </c>
      <c r="G40" s="1046">
        <v>263.60000000000002</v>
      </c>
      <c r="H40" s="1046">
        <v>170800</v>
      </c>
      <c r="I40" s="1046">
        <v>5016</v>
      </c>
      <c r="J40" s="1046">
        <v>50140</v>
      </c>
      <c r="K40" s="1046">
        <f t="shared" si="2"/>
        <v>5016</v>
      </c>
      <c r="L40" s="1046">
        <v>50140</v>
      </c>
      <c r="M40" s="1046">
        <v>21980</v>
      </c>
      <c r="N40" s="1043">
        <f t="shared" si="3"/>
        <v>21980</v>
      </c>
      <c r="O40" s="638"/>
      <c r="P40" s="97"/>
      <c r="Q40" s="97"/>
      <c r="R40" s="107"/>
      <c r="S40" s="92"/>
      <c r="T40" s="108"/>
      <c r="U40" s="92"/>
      <c r="V40" s="109"/>
      <c r="W40" s="109"/>
      <c r="X40" s="107"/>
      <c r="Y40" s="92"/>
      <c r="Z40" s="109"/>
      <c r="AA40" s="107"/>
      <c r="AB40" s="216"/>
      <c r="AC40" s="216"/>
      <c r="AD40" s="216"/>
      <c r="AE40" s="216"/>
      <c r="AF40" s="216"/>
      <c r="AG40" s="216"/>
      <c r="AH40" s="216"/>
      <c r="AI40" s="216"/>
      <c r="AJ40" s="216"/>
      <c r="AK40" s="216"/>
      <c r="AL40" s="216"/>
      <c r="AM40" s="216"/>
      <c r="AN40" s="216"/>
      <c r="AO40" s="216"/>
      <c r="AP40" s="216"/>
    </row>
    <row r="41" spans="2:44">
      <c r="B41" s="649">
        <v>48</v>
      </c>
      <c r="C41" s="617" t="s">
        <v>67</v>
      </c>
      <c r="D41" s="741" t="s">
        <v>1613</v>
      </c>
      <c r="E41" s="1046">
        <v>32760</v>
      </c>
      <c r="F41" s="1046">
        <v>19.11</v>
      </c>
      <c r="G41" s="1046">
        <v>24.62</v>
      </c>
      <c r="H41" s="1046">
        <v>662.8</v>
      </c>
      <c r="I41" s="1046">
        <v>32760</v>
      </c>
      <c r="J41" s="1046">
        <v>679.9</v>
      </c>
      <c r="K41" s="1046">
        <f t="shared" si="2"/>
        <v>662.8</v>
      </c>
      <c r="L41" s="1046">
        <v>679.9</v>
      </c>
      <c r="M41" s="1046">
        <v>27920</v>
      </c>
      <c r="N41" s="1043">
        <f t="shared" si="3"/>
        <v>679.9</v>
      </c>
      <c r="O41" s="740"/>
      <c r="P41" s="97"/>
      <c r="Q41" s="97"/>
      <c r="R41" s="92"/>
      <c r="S41" s="113"/>
      <c r="T41" s="108"/>
      <c r="U41" s="112"/>
      <c r="V41" s="102"/>
      <c r="W41" s="92"/>
      <c r="X41" s="109"/>
      <c r="Y41" s="102"/>
      <c r="Z41" s="102"/>
      <c r="AA41" s="102"/>
      <c r="AB41" s="216"/>
      <c r="AC41" s="216"/>
      <c r="AD41" s="216"/>
      <c r="AE41" s="216"/>
      <c r="AF41" s="216"/>
      <c r="AG41" s="216"/>
      <c r="AH41" s="216"/>
      <c r="AI41" s="216"/>
      <c r="AJ41" s="216"/>
      <c r="AK41" s="216"/>
      <c r="AL41" s="216"/>
      <c r="AM41" s="216"/>
      <c r="AN41" s="216"/>
      <c r="AO41" s="216"/>
      <c r="AP41" s="216"/>
    </row>
    <row r="42" spans="2:44">
      <c r="B42" s="649">
        <v>49</v>
      </c>
      <c r="C42" s="617" t="s">
        <v>69</v>
      </c>
      <c r="D42" s="741" t="s">
        <v>1624</v>
      </c>
      <c r="E42" s="1046">
        <v>32890</v>
      </c>
      <c r="F42" s="1046">
        <v>10.84</v>
      </c>
      <c r="G42" s="1046">
        <v>11.04</v>
      </c>
      <c r="H42" s="1046">
        <v>129.4</v>
      </c>
      <c r="I42" s="1046">
        <v>32890</v>
      </c>
      <c r="J42" s="1046">
        <v>132.80000000000001</v>
      </c>
      <c r="K42" s="1046">
        <f t="shared" si="2"/>
        <v>129.4</v>
      </c>
      <c r="L42" s="1046">
        <v>132.80000000000001</v>
      </c>
      <c r="M42" s="1046">
        <v>99150</v>
      </c>
      <c r="N42" s="1043">
        <f t="shared" si="3"/>
        <v>132.80000000000001</v>
      </c>
      <c r="O42" s="738"/>
      <c r="P42" s="97"/>
      <c r="Q42" s="97"/>
      <c r="R42" s="107"/>
      <c r="S42" s="92"/>
      <c r="T42" s="108"/>
      <c r="U42" s="112"/>
      <c r="V42" s="102"/>
      <c r="W42" s="92"/>
      <c r="X42" s="109"/>
      <c r="Y42" s="92"/>
      <c r="Z42" s="109"/>
      <c r="AA42" s="92"/>
      <c r="AB42" s="216"/>
      <c r="AC42" s="216"/>
      <c r="AD42" s="216"/>
      <c r="AE42" s="216"/>
      <c r="AF42" s="216"/>
      <c r="AG42" s="216"/>
      <c r="AH42" s="216"/>
      <c r="AI42" s="216"/>
      <c r="AJ42" s="216"/>
      <c r="AK42" s="216"/>
      <c r="AL42" s="216"/>
      <c r="AM42" s="216"/>
      <c r="AN42" s="216"/>
      <c r="AO42" s="216"/>
      <c r="AP42" s="216"/>
    </row>
    <row r="43" spans="2:44" ht="30">
      <c r="B43" s="649">
        <v>53</v>
      </c>
      <c r="C43" s="617" t="s">
        <v>64</v>
      </c>
      <c r="D43" s="741" t="s">
        <v>1602</v>
      </c>
      <c r="E43" s="1044">
        <v>1374</v>
      </c>
      <c r="F43" s="1044">
        <v>1.5209999999999999</v>
      </c>
      <c r="G43" s="1044">
        <v>2.23</v>
      </c>
      <c r="H43" s="1044">
        <v>113.6</v>
      </c>
      <c r="I43" s="1044">
        <v>1374</v>
      </c>
      <c r="J43" s="1044">
        <v>101</v>
      </c>
      <c r="K43" s="1046">
        <f t="shared" si="2"/>
        <v>101</v>
      </c>
      <c r="L43" s="1044">
        <v>101</v>
      </c>
      <c r="M43" s="1044">
        <v>605</v>
      </c>
      <c r="N43" s="1043">
        <f t="shared" si="3"/>
        <v>101</v>
      </c>
      <c r="O43" s="813" t="s">
        <v>2198</v>
      </c>
      <c r="P43" s="96"/>
      <c r="Q43" s="241"/>
      <c r="R43" s="97"/>
      <c r="S43" s="97"/>
      <c r="T43" s="107"/>
      <c r="U43" s="92"/>
      <c r="V43" s="108"/>
      <c r="W43" s="92"/>
      <c r="X43" s="109"/>
      <c r="Y43" s="109"/>
      <c r="Z43" s="107"/>
      <c r="AA43" s="92"/>
      <c r="AB43" s="109"/>
      <c r="AC43" s="107"/>
      <c r="AD43" s="216"/>
      <c r="AE43" s="216"/>
      <c r="AF43" s="216"/>
      <c r="AG43" s="216"/>
      <c r="AH43" s="216"/>
      <c r="AI43" s="216"/>
      <c r="AJ43" s="216"/>
      <c r="AK43" s="216"/>
      <c r="AL43" s="216"/>
      <c r="AM43" s="216"/>
      <c r="AN43" s="216"/>
      <c r="AO43" s="216"/>
      <c r="AP43" s="216"/>
      <c r="AQ43" s="216"/>
      <c r="AR43" s="216"/>
    </row>
    <row r="44" spans="2:44" ht="45">
      <c r="B44" s="649">
        <v>60</v>
      </c>
      <c r="C44" s="217" t="s">
        <v>213</v>
      </c>
      <c r="D44" s="741" t="s">
        <v>1597</v>
      </c>
      <c r="E44" s="1044">
        <v>57140</v>
      </c>
      <c r="F44" s="1045">
        <v>375.7</v>
      </c>
      <c r="G44" s="1044">
        <v>581.70000000000005</v>
      </c>
      <c r="H44" s="1044">
        <v>1000000</v>
      </c>
      <c r="I44" s="1044">
        <v>57140</v>
      </c>
      <c r="J44" s="1044">
        <v>1000000</v>
      </c>
      <c r="K44" s="1046">
        <f t="shared" si="2"/>
        <v>57140</v>
      </c>
      <c r="L44" s="1044">
        <v>1000000</v>
      </c>
      <c r="M44" s="1044">
        <v>478100</v>
      </c>
      <c r="N44" s="1043">
        <f t="shared" si="3"/>
        <v>478100</v>
      </c>
      <c r="O44" s="812" t="s">
        <v>2517</v>
      </c>
      <c r="P44" s="241"/>
      <c r="Q44" s="97"/>
      <c r="R44" s="97"/>
      <c r="S44" s="107"/>
      <c r="T44" s="92"/>
      <c r="U44" s="108"/>
      <c r="V44" s="92"/>
      <c r="W44" s="109"/>
      <c r="X44" s="109"/>
      <c r="Y44" s="107"/>
      <c r="Z44" s="92"/>
      <c r="AA44" s="109"/>
      <c r="AB44" s="107"/>
      <c r="AC44" s="216"/>
      <c r="AD44" s="216"/>
      <c r="AE44" s="216"/>
      <c r="AF44" s="216"/>
      <c r="AG44" s="216"/>
      <c r="AH44" s="216"/>
      <c r="AI44" s="216"/>
      <c r="AJ44" s="216"/>
      <c r="AK44" s="216"/>
      <c r="AL44" s="216"/>
      <c r="AM44" s="216"/>
      <c r="AN44" s="216"/>
      <c r="AO44" s="216"/>
      <c r="AP44" s="216"/>
      <c r="AQ44" s="216"/>
    </row>
    <row r="45" spans="2:44">
      <c r="B45" s="624">
        <v>66</v>
      </c>
      <c r="C45" s="617" t="s">
        <v>119</v>
      </c>
      <c r="D45" s="741" t="s">
        <v>1676</v>
      </c>
      <c r="E45" s="1044">
        <v>6903</v>
      </c>
      <c r="F45" s="1044">
        <v>12.27</v>
      </c>
      <c r="G45" s="1044">
        <v>20.25</v>
      </c>
      <c r="H45" s="1044">
        <v>645.4</v>
      </c>
      <c r="I45" s="1044">
        <v>6903</v>
      </c>
      <c r="J45" s="1044">
        <v>563.29999999999995</v>
      </c>
      <c r="K45" s="1043">
        <f t="shared" ref="K45:K70" si="4">MIN(H45:J45)</f>
        <v>563.29999999999995</v>
      </c>
      <c r="L45" s="1044">
        <v>563.29999999999995</v>
      </c>
      <c r="M45" s="1044">
        <v>1788</v>
      </c>
      <c r="N45" s="1043">
        <f t="shared" ref="N45:N70" si="5">MIN(L45:M45)</f>
        <v>563.29999999999995</v>
      </c>
      <c r="O45" s="733"/>
      <c r="P45" s="241"/>
      <c r="Q45" s="97"/>
      <c r="R45" s="97"/>
      <c r="S45" s="107"/>
      <c r="T45" s="92"/>
      <c r="U45" s="108"/>
      <c r="V45" s="92"/>
      <c r="W45" s="109"/>
      <c r="X45" s="109"/>
      <c r="Y45" s="107"/>
      <c r="Z45" s="92"/>
      <c r="AA45" s="109"/>
      <c r="AB45" s="107"/>
      <c r="AC45" s="216"/>
      <c r="AD45" s="216"/>
      <c r="AE45" s="216"/>
      <c r="AF45" s="216"/>
      <c r="AG45" s="216"/>
      <c r="AH45" s="216"/>
      <c r="AI45" s="216"/>
      <c r="AJ45" s="216"/>
      <c r="AK45" s="216"/>
      <c r="AL45" s="216"/>
      <c r="AM45" s="216"/>
      <c r="AN45" s="216"/>
      <c r="AO45" s="216"/>
      <c r="AP45" s="216"/>
      <c r="AQ45" s="216"/>
    </row>
    <row r="46" spans="2:44" ht="68.25" customHeight="1">
      <c r="B46" s="622">
        <v>70</v>
      </c>
      <c r="C46" s="619" t="s">
        <v>217</v>
      </c>
      <c r="D46" s="741" t="s">
        <v>1568</v>
      </c>
      <c r="E46" s="1046">
        <v>4467</v>
      </c>
      <c r="F46" s="1043">
        <v>1.0660000000000001</v>
      </c>
      <c r="G46" s="1043">
        <v>1.2529999999999999</v>
      </c>
      <c r="H46" s="1043">
        <v>20.13</v>
      </c>
      <c r="I46" s="1046">
        <v>4467</v>
      </c>
      <c r="J46" s="1046">
        <v>20.66</v>
      </c>
      <c r="K46" s="1046">
        <f t="shared" si="4"/>
        <v>20.13</v>
      </c>
      <c r="L46" s="1046">
        <v>20.66</v>
      </c>
      <c r="M46" s="1046">
        <v>140.5</v>
      </c>
      <c r="N46" s="1043">
        <f t="shared" si="5"/>
        <v>20.66</v>
      </c>
      <c r="O46" s="983" t="s">
        <v>2554</v>
      </c>
      <c r="P46" s="244"/>
      <c r="Q46" s="65"/>
      <c r="R46" s="65"/>
      <c r="S46" s="87"/>
      <c r="T46" s="87"/>
      <c r="U46" s="87"/>
      <c r="V46" s="87"/>
      <c r="W46" s="87"/>
      <c r="X46" s="87"/>
      <c r="Y46" s="87"/>
      <c r="Z46" s="88"/>
      <c r="AA46" s="87"/>
      <c r="AB46" s="87"/>
      <c r="AC46" s="216"/>
      <c r="AD46" s="216"/>
      <c r="AE46" s="216"/>
      <c r="AF46" s="216"/>
      <c r="AG46" s="216"/>
      <c r="AH46" s="216"/>
      <c r="AI46" s="216"/>
      <c r="AJ46" s="216"/>
      <c r="AK46" s="216"/>
      <c r="AL46" s="216"/>
      <c r="AM46" s="216"/>
      <c r="AN46" s="216"/>
      <c r="AO46" s="216"/>
      <c r="AP46" s="216"/>
      <c r="AQ46" s="216"/>
    </row>
    <row r="47" spans="2:44">
      <c r="B47" s="615">
        <v>92</v>
      </c>
      <c r="C47" s="615" t="s">
        <v>361</v>
      </c>
      <c r="D47" s="750" t="s">
        <v>1477</v>
      </c>
      <c r="E47" s="1050">
        <v>19290</v>
      </c>
      <c r="F47" s="1050">
        <v>3.145</v>
      </c>
      <c r="G47" s="1050">
        <v>3.1629999999999998</v>
      </c>
      <c r="H47" s="1050">
        <v>36.26</v>
      </c>
      <c r="I47" s="1050">
        <v>19290</v>
      </c>
      <c r="J47" s="1050">
        <v>36.99</v>
      </c>
      <c r="K47" s="1046">
        <f t="shared" si="4"/>
        <v>36.26</v>
      </c>
      <c r="L47" s="1050">
        <v>36.99</v>
      </c>
      <c r="M47" s="1050">
        <v>234.5</v>
      </c>
      <c r="N47" s="1043">
        <f t="shared" si="5"/>
        <v>36.99</v>
      </c>
      <c r="O47" s="638"/>
      <c r="P47" s="245"/>
      <c r="Q47" s="245"/>
      <c r="R47" s="97"/>
      <c r="S47" s="97"/>
      <c r="T47" s="87"/>
      <c r="U47" s="87"/>
      <c r="V47" s="87"/>
      <c r="W47" s="87"/>
      <c r="X47" s="87"/>
      <c r="Y47" s="87"/>
      <c r="Z47" s="87"/>
      <c r="AA47" s="88"/>
      <c r="AB47" s="87"/>
      <c r="AC47" s="87"/>
      <c r="AD47" s="216"/>
      <c r="AE47" s="216"/>
      <c r="AF47" s="216"/>
      <c r="AG47" s="216"/>
      <c r="AH47" s="216"/>
      <c r="AI47" s="216"/>
      <c r="AJ47" s="216"/>
      <c r="AK47" s="216"/>
      <c r="AL47" s="216"/>
      <c r="AM47" s="216"/>
      <c r="AN47" s="216"/>
      <c r="AO47" s="216"/>
      <c r="AP47" s="216"/>
      <c r="AQ47" s="216"/>
      <c r="AR47" s="216"/>
    </row>
    <row r="48" spans="2:44">
      <c r="B48" s="615">
        <v>93</v>
      </c>
      <c r="C48" s="615" t="s">
        <v>362</v>
      </c>
      <c r="D48" s="750" t="s">
        <v>1481</v>
      </c>
      <c r="E48" s="1050">
        <v>17400</v>
      </c>
      <c r="F48" s="1050">
        <v>1.387</v>
      </c>
      <c r="G48" s="1050">
        <v>1.3939999999999999</v>
      </c>
      <c r="H48" s="1050">
        <v>15.95</v>
      </c>
      <c r="I48" s="1050">
        <v>17400</v>
      </c>
      <c r="J48" s="1050">
        <v>16.29</v>
      </c>
      <c r="K48" s="1046">
        <f t="shared" si="4"/>
        <v>15.95</v>
      </c>
      <c r="L48" s="1050">
        <v>16.29</v>
      </c>
      <c r="M48" s="1050">
        <v>103.9</v>
      </c>
      <c r="N48" s="1043">
        <f t="shared" si="5"/>
        <v>16.29</v>
      </c>
      <c r="O48" s="638"/>
      <c r="P48" s="245"/>
      <c r="Q48" s="97"/>
      <c r="R48" s="97"/>
      <c r="S48" s="87"/>
      <c r="T48" s="87"/>
      <c r="U48" s="87"/>
      <c r="V48" s="87"/>
      <c r="W48" s="87"/>
      <c r="X48" s="87"/>
      <c r="Y48" s="87"/>
      <c r="Z48" s="88"/>
      <c r="AA48" s="87"/>
      <c r="AB48" s="87"/>
      <c r="AC48" s="216"/>
      <c r="AD48" s="216"/>
      <c r="AE48" s="216"/>
      <c r="AF48" s="216"/>
      <c r="AG48" s="216"/>
      <c r="AH48" s="216"/>
      <c r="AI48" s="216"/>
      <c r="AJ48" s="216"/>
      <c r="AK48" s="216"/>
      <c r="AL48" s="216"/>
      <c r="AM48" s="216"/>
      <c r="AN48" s="216"/>
      <c r="AO48" s="216"/>
      <c r="AP48" s="216"/>
      <c r="AQ48" s="216"/>
    </row>
    <row r="49" spans="2:44">
      <c r="B49" s="624">
        <v>110</v>
      </c>
      <c r="C49" s="617" t="s">
        <v>52</v>
      </c>
      <c r="D49" s="741" t="s">
        <v>51</v>
      </c>
      <c r="E49" s="1046">
        <v>1.4610000000000001</v>
      </c>
      <c r="F49" s="1046">
        <v>1.2930000000000001E-3</v>
      </c>
      <c r="G49" s="1046">
        <v>1.8320000000000001E-3</v>
      </c>
      <c r="H49" s="1046">
        <v>5.5019999999999999E-2</v>
      </c>
      <c r="I49" s="1046">
        <v>1.4610000000000001</v>
      </c>
      <c r="J49" s="1046">
        <v>4.9119999999999997E-2</v>
      </c>
      <c r="K49" s="1046">
        <f t="shared" si="4"/>
        <v>4.9119999999999997E-2</v>
      </c>
      <c r="L49" s="1046">
        <v>4.9119999999999997E-2</v>
      </c>
      <c r="M49" s="1046">
        <v>0.316</v>
      </c>
      <c r="N49" s="1043">
        <f t="shared" si="5"/>
        <v>4.9119999999999997E-2</v>
      </c>
      <c r="O49" s="637"/>
      <c r="P49" s="241"/>
      <c r="Q49" s="97"/>
      <c r="R49" s="97"/>
      <c r="S49" s="107"/>
      <c r="T49" s="92"/>
      <c r="U49" s="108"/>
      <c r="V49" s="92"/>
      <c r="W49" s="107"/>
      <c r="X49" s="107"/>
      <c r="Y49" s="107"/>
      <c r="Z49" s="92"/>
      <c r="AA49" s="107"/>
      <c r="AB49" s="107"/>
      <c r="AC49" s="216"/>
      <c r="AD49" s="216"/>
      <c r="AE49" s="216"/>
      <c r="AF49" s="216"/>
      <c r="AG49" s="216"/>
      <c r="AH49" s="216"/>
      <c r="AI49" s="216"/>
      <c r="AJ49" s="216"/>
      <c r="AK49" s="216"/>
      <c r="AL49" s="216"/>
      <c r="AM49" s="216"/>
      <c r="AN49" s="216"/>
      <c r="AO49" s="216"/>
      <c r="AP49" s="216"/>
      <c r="AQ49" s="216"/>
    </row>
    <row r="50" spans="2:44">
      <c r="B50" s="649">
        <v>128</v>
      </c>
      <c r="C50" s="617" t="s">
        <v>138</v>
      </c>
      <c r="D50" s="741" t="s">
        <v>533</v>
      </c>
      <c r="E50" s="1044">
        <v>99.45</v>
      </c>
      <c r="F50" s="1044">
        <v>0.67900000000000005</v>
      </c>
      <c r="G50" s="1044">
        <v>10.35</v>
      </c>
      <c r="H50" s="1044">
        <v>1794</v>
      </c>
      <c r="I50" s="1044">
        <v>99.45</v>
      </c>
      <c r="J50" s="1044">
        <v>258.7</v>
      </c>
      <c r="K50" s="1046">
        <f t="shared" si="4"/>
        <v>99.45</v>
      </c>
      <c r="L50" s="1044">
        <v>258.7</v>
      </c>
      <c r="M50" s="1044">
        <v>111.2</v>
      </c>
      <c r="N50" s="1043">
        <f t="shared" si="5"/>
        <v>111.2</v>
      </c>
      <c r="O50" s="625"/>
      <c r="P50" s="241"/>
      <c r="Q50" s="97"/>
      <c r="R50" s="97"/>
      <c r="S50" s="107"/>
      <c r="T50" s="92"/>
      <c r="U50" s="108"/>
      <c r="V50" s="92"/>
      <c r="W50" s="107"/>
      <c r="X50" s="107"/>
      <c r="Y50" s="107"/>
      <c r="Z50" s="92"/>
      <c r="AA50" s="107"/>
      <c r="AB50" s="107"/>
      <c r="AC50" s="216"/>
      <c r="AD50" s="216"/>
      <c r="AE50" s="216"/>
      <c r="AF50" s="216"/>
      <c r="AG50" s="216"/>
      <c r="AH50" s="216"/>
      <c r="AI50" s="216"/>
      <c r="AJ50" s="216"/>
      <c r="AK50" s="216"/>
      <c r="AL50" s="216"/>
      <c r="AM50" s="216"/>
      <c r="AN50" s="216"/>
      <c r="AO50" s="216"/>
      <c r="AP50" s="216"/>
      <c r="AQ50" s="216"/>
    </row>
    <row r="51" spans="2:44">
      <c r="B51" s="649">
        <v>131</v>
      </c>
      <c r="C51" s="617" t="s">
        <v>141</v>
      </c>
      <c r="D51" s="741" t="s">
        <v>534</v>
      </c>
      <c r="E51" s="1044">
        <v>0.71179999999999999</v>
      </c>
      <c r="F51" s="1044">
        <v>1.772E-2</v>
      </c>
      <c r="G51" s="1044">
        <v>3.5139999999999998E-2</v>
      </c>
      <c r="H51" s="1044">
        <v>11.65</v>
      </c>
      <c r="I51" s="1044">
        <v>0.71179999999999999</v>
      </c>
      <c r="J51" s="1044">
        <v>4.0869999999999997</v>
      </c>
      <c r="K51" s="1046">
        <f t="shared" si="4"/>
        <v>0.71179999999999999</v>
      </c>
      <c r="L51" s="1044">
        <v>4.0869999999999997</v>
      </c>
      <c r="M51" s="1044">
        <v>2.1640000000000001</v>
      </c>
      <c r="N51" s="1043">
        <f t="shared" si="5"/>
        <v>2.1640000000000001</v>
      </c>
      <c r="O51" s="625"/>
      <c r="P51" s="241"/>
      <c r="Q51" s="97"/>
      <c r="R51" s="97"/>
      <c r="S51" s="107"/>
      <c r="T51" s="92"/>
      <c r="U51" s="108"/>
      <c r="V51" s="92"/>
      <c r="W51" s="107"/>
      <c r="X51" s="107"/>
      <c r="Y51" s="107"/>
      <c r="Z51" s="92"/>
      <c r="AA51" s="107"/>
      <c r="AB51" s="107"/>
      <c r="AC51" s="216"/>
      <c r="AD51" s="216"/>
      <c r="AE51" s="216"/>
      <c r="AF51" s="216"/>
      <c r="AG51" s="216"/>
      <c r="AH51" s="216"/>
      <c r="AI51" s="216"/>
      <c r="AJ51" s="216"/>
      <c r="AK51" s="216"/>
      <c r="AL51" s="216"/>
      <c r="AM51" s="216"/>
      <c r="AN51" s="216"/>
      <c r="AO51" s="216"/>
      <c r="AP51" s="216"/>
      <c r="AQ51" s="216"/>
    </row>
    <row r="52" spans="2:44" s="570" customFormat="1" ht="96.75" customHeight="1">
      <c r="B52" s="615">
        <v>179</v>
      </c>
      <c r="C52" s="615" t="s">
        <v>109</v>
      </c>
      <c r="D52" s="858" t="s">
        <v>1743</v>
      </c>
      <c r="E52" s="1046">
        <v>28.48</v>
      </c>
      <c r="F52" s="1046">
        <v>1.4630000000000001</v>
      </c>
      <c r="G52" s="1046">
        <v>2.1120000000000001</v>
      </c>
      <c r="H52" s="1046">
        <v>604</v>
      </c>
      <c r="I52" s="1046">
        <v>28.48</v>
      </c>
      <c r="J52" s="1046">
        <v>108.4</v>
      </c>
      <c r="K52" s="1046">
        <f t="shared" si="4"/>
        <v>28.48</v>
      </c>
      <c r="L52" s="1046">
        <v>108.4</v>
      </c>
      <c r="M52" s="1046">
        <v>66.09</v>
      </c>
      <c r="N52" s="1043">
        <f t="shared" si="5"/>
        <v>66.09</v>
      </c>
      <c r="O52" s="638"/>
      <c r="P52" s="573"/>
      <c r="Q52" s="573"/>
      <c r="R52" s="574"/>
      <c r="S52" s="574"/>
      <c r="T52" s="575"/>
      <c r="U52" s="576"/>
      <c r="V52" s="577"/>
      <c r="W52" s="576"/>
      <c r="X52" s="578"/>
      <c r="Y52" s="578"/>
      <c r="Z52" s="575"/>
      <c r="AA52" s="579"/>
      <c r="AB52" s="578"/>
      <c r="AC52" s="575"/>
      <c r="AD52" s="580"/>
      <c r="AE52" s="580"/>
      <c r="AF52" s="580"/>
      <c r="AG52" s="580"/>
      <c r="AH52" s="580"/>
      <c r="AI52" s="580"/>
      <c r="AJ52" s="580"/>
      <c r="AK52" s="580"/>
      <c r="AL52" s="580"/>
      <c r="AM52" s="580"/>
      <c r="AN52" s="580"/>
      <c r="AO52" s="580"/>
      <c r="AP52" s="580"/>
      <c r="AQ52" s="580"/>
      <c r="AR52" s="580"/>
    </row>
    <row r="53" spans="2:44" ht="30">
      <c r="B53" s="649">
        <v>190</v>
      </c>
      <c r="C53" s="649" t="s">
        <v>145</v>
      </c>
      <c r="D53" s="741" t="s">
        <v>1554</v>
      </c>
      <c r="E53" s="1044">
        <v>113.8</v>
      </c>
      <c r="F53" s="1044">
        <v>0.4491</v>
      </c>
      <c r="G53" s="1044">
        <v>9.1310000000000002</v>
      </c>
      <c r="H53" s="1044">
        <v>2207</v>
      </c>
      <c r="I53" s="1044">
        <v>113.8</v>
      </c>
      <c r="J53" s="1044">
        <v>291.2</v>
      </c>
      <c r="K53" s="1046">
        <f t="shared" si="4"/>
        <v>113.8</v>
      </c>
      <c r="L53" s="1044">
        <v>291.2</v>
      </c>
      <c r="M53" s="1044">
        <v>116.3</v>
      </c>
      <c r="N53" s="1043">
        <f t="shared" si="5"/>
        <v>116.3</v>
      </c>
      <c r="O53" s="626" t="s">
        <v>2198</v>
      </c>
      <c r="P53" s="218"/>
      <c r="Q53" s="97"/>
      <c r="R53" s="97"/>
      <c r="S53" s="92"/>
      <c r="T53" s="92"/>
      <c r="U53" s="84"/>
      <c r="V53" s="92"/>
      <c r="W53" s="92"/>
      <c r="X53" s="92"/>
      <c r="Y53" s="92"/>
      <c r="Z53" s="92"/>
      <c r="AA53" s="92"/>
      <c r="AB53" s="92"/>
      <c r="AC53" s="216"/>
      <c r="AD53" s="216"/>
      <c r="AE53" s="216"/>
      <c r="AF53" s="216"/>
      <c r="AG53" s="216"/>
      <c r="AH53" s="216"/>
      <c r="AI53" s="216"/>
      <c r="AJ53" s="216"/>
      <c r="AK53" s="216"/>
      <c r="AL53" s="216"/>
      <c r="AM53" s="216"/>
      <c r="AN53" s="216"/>
      <c r="AO53" s="216"/>
      <c r="AP53" s="216"/>
      <c r="AQ53" s="216"/>
    </row>
    <row r="54" spans="2:44">
      <c r="B54" s="649">
        <v>196</v>
      </c>
      <c r="C54" s="649" t="s">
        <v>148</v>
      </c>
      <c r="D54" s="741" t="s">
        <v>1634</v>
      </c>
      <c r="E54" s="1046">
        <v>235.3</v>
      </c>
      <c r="F54" s="1046">
        <v>1.0009999999999999</v>
      </c>
      <c r="G54" s="1046">
        <v>1.8109999999999999</v>
      </c>
      <c r="H54" s="1046">
        <v>9183</v>
      </c>
      <c r="I54" s="1046">
        <v>235.3</v>
      </c>
      <c r="J54" s="1046">
        <v>175.8</v>
      </c>
      <c r="K54" s="1046">
        <f t="shared" si="4"/>
        <v>175.8</v>
      </c>
      <c r="L54" s="1046">
        <v>175.8</v>
      </c>
      <c r="M54" s="1046">
        <v>167.9</v>
      </c>
      <c r="N54" s="1043">
        <f t="shared" si="5"/>
        <v>167.9</v>
      </c>
      <c r="O54" s="738"/>
      <c r="P54" s="97"/>
      <c r="Q54" s="97"/>
      <c r="R54" s="97"/>
      <c r="S54" s="107"/>
      <c r="T54" s="92"/>
      <c r="U54" s="108"/>
      <c r="V54" s="92"/>
      <c r="W54" s="92"/>
      <c r="X54" s="109"/>
      <c r="Y54" s="107"/>
      <c r="Z54" s="92"/>
      <c r="AA54" s="109"/>
      <c r="AB54" s="109"/>
      <c r="AC54" s="216"/>
      <c r="AD54" s="216"/>
      <c r="AE54" s="216"/>
      <c r="AF54" s="216"/>
      <c r="AG54" s="216"/>
      <c r="AH54" s="216"/>
      <c r="AI54" s="216"/>
      <c r="AJ54" s="216"/>
      <c r="AK54" s="216"/>
      <c r="AL54" s="216"/>
      <c r="AM54" s="216"/>
      <c r="AN54" s="216"/>
      <c r="AO54" s="216"/>
      <c r="AP54" s="216"/>
      <c r="AQ54" s="216"/>
    </row>
    <row r="55" spans="2:44">
      <c r="B55" s="615">
        <v>197</v>
      </c>
      <c r="C55" s="615" t="s">
        <v>415</v>
      </c>
      <c r="D55" s="741" t="s">
        <v>1682</v>
      </c>
      <c r="E55" s="1046">
        <v>43630</v>
      </c>
      <c r="F55" s="1046">
        <v>0.3357</v>
      </c>
      <c r="G55" s="1046">
        <v>0.33579999999999999</v>
      </c>
      <c r="H55" s="1046">
        <v>3.8010000000000002</v>
      </c>
      <c r="I55" s="1046">
        <v>43630</v>
      </c>
      <c r="J55" s="1046">
        <v>3.8969999999999998</v>
      </c>
      <c r="K55" s="1046">
        <f t="shared" si="4"/>
        <v>3.8010000000000002</v>
      </c>
      <c r="L55" s="1046">
        <v>3.8969999999999998</v>
      </c>
      <c r="M55" s="1046">
        <v>25.43</v>
      </c>
      <c r="N55" s="1043">
        <f t="shared" si="5"/>
        <v>3.8969999999999998</v>
      </c>
      <c r="O55" s="638"/>
      <c r="P55" s="97"/>
      <c r="Q55" s="97"/>
      <c r="R55" s="97"/>
      <c r="S55" s="109"/>
      <c r="T55" s="102"/>
      <c r="U55" s="108"/>
      <c r="V55" s="102"/>
      <c r="W55" s="109"/>
      <c r="X55" s="109"/>
      <c r="Y55" s="107"/>
      <c r="Z55" s="92"/>
      <c r="AA55" s="109"/>
      <c r="AB55" s="109"/>
      <c r="AC55" s="216"/>
      <c r="AD55" s="216"/>
      <c r="AE55" s="216"/>
      <c r="AF55" s="216"/>
      <c r="AG55" s="216"/>
      <c r="AH55" s="216"/>
      <c r="AI55" s="216"/>
      <c r="AJ55" s="216"/>
      <c r="AK55" s="216"/>
      <c r="AL55" s="216"/>
      <c r="AM55" s="216"/>
      <c r="AN55" s="216"/>
      <c r="AO55" s="216"/>
      <c r="AP55" s="216"/>
      <c r="AQ55" s="216"/>
    </row>
    <row r="56" spans="2:44">
      <c r="B56" s="649">
        <v>205</v>
      </c>
      <c r="C56" s="649" t="s">
        <v>337</v>
      </c>
      <c r="D56" s="741" t="s">
        <v>1663</v>
      </c>
      <c r="E56" s="1044">
        <v>46.92</v>
      </c>
      <c r="F56" s="1044">
        <v>7.1900000000000006E-2</v>
      </c>
      <c r="G56" s="1044">
        <v>0.113</v>
      </c>
      <c r="H56" s="1044">
        <v>42.45</v>
      </c>
      <c r="I56" s="1044">
        <v>46.92</v>
      </c>
      <c r="J56" s="1044">
        <v>36.96</v>
      </c>
      <c r="K56" s="1046">
        <f t="shared" si="4"/>
        <v>36.96</v>
      </c>
      <c r="L56" s="1044">
        <v>36.96</v>
      </c>
      <c r="M56" s="1044">
        <v>162.5</v>
      </c>
      <c r="N56" s="1043">
        <f t="shared" si="5"/>
        <v>36.96</v>
      </c>
      <c r="O56" s="625"/>
      <c r="P56" s="241"/>
      <c r="Q56" s="97"/>
      <c r="R56" s="97"/>
      <c r="S56" s="107"/>
      <c r="T56" s="92"/>
      <c r="U56" s="108"/>
      <c r="V56" s="92"/>
      <c r="W56" s="107"/>
      <c r="X56" s="107"/>
      <c r="Y56" s="107"/>
      <c r="Z56" s="92"/>
      <c r="AA56" s="107"/>
      <c r="AB56" s="107"/>
      <c r="AC56" s="216"/>
      <c r="AD56" s="216"/>
      <c r="AE56" s="216"/>
      <c r="AF56" s="216"/>
      <c r="AG56" s="216"/>
      <c r="AH56" s="216"/>
      <c r="AI56" s="216"/>
      <c r="AJ56" s="216"/>
      <c r="AK56" s="216"/>
      <c r="AL56" s="216"/>
      <c r="AM56" s="216"/>
      <c r="AN56" s="216"/>
      <c r="AO56" s="216"/>
      <c r="AP56" s="216"/>
      <c r="AQ56" s="216"/>
    </row>
    <row r="57" spans="2:44" ht="90">
      <c r="B57" s="615">
        <v>213</v>
      </c>
      <c r="C57" s="624" t="s">
        <v>424</v>
      </c>
      <c r="D57" s="634" t="s">
        <v>1648</v>
      </c>
      <c r="E57" s="1052">
        <v>33520</v>
      </c>
      <c r="F57" s="1052">
        <v>34.64</v>
      </c>
      <c r="G57" s="1052">
        <v>51.23</v>
      </c>
      <c r="H57" s="1052">
        <v>1000000</v>
      </c>
      <c r="I57" s="1052">
        <v>33520</v>
      </c>
      <c r="J57" s="1052">
        <v>1878</v>
      </c>
      <c r="K57" s="1049">
        <f t="shared" si="4"/>
        <v>1878</v>
      </c>
      <c r="L57" s="1052">
        <v>1878</v>
      </c>
      <c r="M57" s="1052">
        <v>2041</v>
      </c>
      <c r="N57" s="1045">
        <f t="shared" si="5"/>
        <v>1878</v>
      </c>
      <c r="O57" s="819" t="s">
        <v>2432</v>
      </c>
      <c r="P57" s="97"/>
      <c r="Q57" s="97"/>
      <c r="R57" s="97"/>
      <c r="S57" s="109"/>
      <c r="T57" s="102"/>
      <c r="U57" s="108"/>
      <c r="V57" s="102"/>
      <c r="W57" s="109"/>
      <c r="X57" s="109"/>
      <c r="Y57" s="107"/>
      <c r="Z57" s="92"/>
      <c r="AA57" s="109"/>
      <c r="AB57" s="109"/>
      <c r="AC57" s="216"/>
      <c r="AD57" s="216"/>
      <c r="AE57" s="216"/>
      <c r="AF57" s="216"/>
      <c r="AG57" s="216"/>
      <c r="AH57" s="216"/>
      <c r="AI57" s="216"/>
      <c r="AJ57" s="216"/>
      <c r="AK57" s="216"/>
      <c r="AL57" s="216"/>
      <c r="AM57" s="216"/>
      <c r="AN57" s="216"/>
      <c r="AO57" s="216"/>
      <c r="AP57" s="216"/>
      <c r="AQ57" s="216"/>
    </row>
    <row r="58" spans="2:44">
      <c r="B58" s="615">
        <v>254</v>
      </c>
      <c r="C58" s="615" t="s">
        <v>1798</v>
      </c>
      <c r="D58" s="750" t="s">
        <v>1806</v>
      </c>
      <c r="E58" s="1050">
        <v>21000</v>
      </c>
      <c r="F58" s="1050">
        <v>2.629</v>
      </c>
      <c r="G58" s="1050">
        <v>2.6509999999999998</v>
      </c>
      <c r="H58" s="1050">
        <v>30.61</v>
      </c>
      <c r="I58" s="1050">
        <v>21000</v>
      </c>
      <c r="J58" s="1050">
        <v>31.13</v>
      </c>
      <c r="K58" s="1046">
        <f t="shared" si="4"/>
        <v>30.61</v>
      </c>
      <c r="L58" s="1050">
        <v>31.13</v>
      </c>
      <c r="M58" s="1050">
        <v>194.4</v>
      </c>
      <c r="N58" s="1043">
        <f t="shared" si="5"/>
        <v>31.13</v>
      </c>
      <c r="O58" s="638"/>
      <c r="P58" s="241"/>
      <c r="Q58" s="97"/>
      <c r="R58" s="97"/>
      <c r="S58" s="107"/>
      <c r="T58" s="92"/>
      <c r="U58" s="108"/>
      <c r="V58" s="92"/>
      <c r="W58" s="107"/>
      <c r="X58" s="107"/>
      <c r="Y58" s="107"/>
      <c r="Z58" s="92"/>
      <c r="AA58" s="107"/>
      <c r="AB58" s="107"/>
      <c r="AC58" s="216"/>
      <c r="AD58" s="216"/>
      <c r="AE58" s="216"/>
      <c r="AF58" s="216"/>
      <c r="AG58" s="216"/>
      <c r="AH58" s="216"/>
      <c r="AI58" s="216"/>
      <c r="AJ58" s="216"/>
      <c r="AK58" s="216"/>
      <c r="AL58" s="216"/>
      <c r="AM58" s="216"/>
      <c r="AN58" s="216"/>
      <c r="AO58" s="216"/>
      <c r="AP58" s="216"/>
      <c r="AQ58" s="216"/>
    </row>
    <row r="59" spans="2:44">
      <c r="B59" s="615">
        <v>255</v>
      </c>
      <c r="C59" s="615" t="s">
        <v>1799</v>
      </c>
      <c r="D59" s="750" t="s">
        <v>1803</v>
      </c>
      <c r="E59" s="1050">
        <v>1000000</v>
      </c>
      <c r="F59" s="1051">
        <v>1.026</v>
      </c>
      <c r="G59" s="1051">
        <v>1.026</v>
      </c>
      <c r="H59" s="1051">
        <v>11.61</v>
      </c>
      <c r="I59" s="1050">
        <v>1000000</v>
      </c>
      <c r="J59" s="1051">
        <v>11.9</v>
      </c>
      <c r="K59" s="1046">
        <f t="shared" si="4"/>
        <v>11.61</v>
      </c>
      <c r="L59" s="1051">
        <v>11.9</v>
      </c>
      <c r="M59" s="1051">
        <v>77.8</v>
      </c>
      <c r="N59" s="1043">
        <f t="shared" si="5"/>
        <v>11.9</v>
      </c>
      <c r="O59" s="638"/>
      <c r="P59" s="241"/>
      <c r="Q59" s="97"/>
      <c r="R59" s="97"/>
      <c r="S59" s="107"/>
      <c r="T59" s="92"/>
      <c r="U59" s="108"/>
      <c r="V59" s="92"/>
      <c r="W59" s="107"/>
      <c r="X59" s="107"/>
      <c r="Y59" s="107"/>
      <c r="Z59" s="92"/>
      <c r="AA59" s="107"/>
      <c r="AB59" s="107"/>
      <c r="AC59" s="216"/>
      <c r="AD59" s="216"/>
      <c r="AE59" s="216"/>
      <c r="AF59" s="216"/>
      <c r="AG59" s="216"/>
      <c r="AH59" s="216"/>
      <c r="AI59" s="216"/>
      <c r="AJ59" s="216"/>
      <c r="AK59" s="216"/>
      <c r="AL59" s="216"/>
      <c r="AM59" s="216"/>
      <c r="AN59" s="216"/>
      <c r="AO59" s="216"/>
      <c r="AP59" s="216"/>
      <c r="AQ59" s="216"/>
    </row>
    <row r="60" spans="2:44">
      <c r="B60" s="615">
        <v>256</v>
      </c>
      <c r="C60" s="615" t="s">
        <v>1800</v>
      </c>
      <c r="D60" s="750" t="s">
        <v>1804</v>
      </c>
      <c r="E60" s="1050">
        <v>12020</v>
      </c>
      <c r="F60" s="1050">
        <v>3.0510000000000002</v>
      </c>
      <c r="G60" s="1050">
        <v>3.0569999999999999</v>
      </c>
      <c r="H60" s="1050">
        <v>34.68</v>
      </c>
      <c r="I60" s="1050">
        <v>12020</v>
      </c>
      <c r="J60" s="1050">
        <v>35.53</v>
      </c>
      <c r="K60" s="1046">
        <f t="shared" si="4"/>
        <v>34.68</v>
      </c>
      <c r="L60" s="1050">
        <v>35.53</v>
      </c>
      <c r="M60" s="1050">
        <v>242.7</v>
      </c>
      <c r="N60" s="1043">
        <f t="shared" si="5"/>
        <v>35.53</v>
      </c>
      <c r="O60" s="638"/>
      <c r="P60" s="96"/>
      <c r="Q60" s="96"/>
      <c r="R60" s="97"/>
      <c r="S60" s="97"/>
      <c r="T60" s="109"/>
      <c r="U60" s="102"/>
      <c r="V60" s="108"/>
      <c r="W60" s="102"/>
      <c r="X60" s="109"/>
      <c r="Y60" s="109"/>
      <c r="Z60" s="107"/>
      <c r="AA60" s="92"/>
      <c r="AB60" s="109"/>
      <c r="AC60" s="109"/>
      <c r="AD60" s="216"/>
      <c r="AE60" s="216"/>
      <c r="AF60" s="216"/>
      <c r="AG60" s="216"/>
      <c r="AH60" s="216"/>
      <c r="AI60" s="216"/>
      <c r="AJ60" s="216"/>
      <c r="AK60" s="216"/>
      <c r="AL60" s="216"/>
      <c r="AM60" s="216"/>
      <c r="AN60" s="216"/>
      <c r="AO60" s="216"/>
      <c r="AP60" s="216"/>
      <c r="AQ60" s="216"/>
      <c r="AR60" s="216"/>
    </row>
    <row r="61" spans="2:44">
      <c r="B61" s="615">
        <v>257</v>
      </c>
      <c r="C61" s="615" t="s">
        <v>1801</v>
      </c>
      <c r="D61" s="750" t="s">
        <v>1805</v>
      </c>
      <c r="E61" s="1050">
        <v>1000000</v>
      </c>
      <c r="F61" s="1050">
        <v>1.4850000000000001</v>
      </c>
      <c r="G61" s="1050">
        <v>1.4850000000000001</v>
      </c>
      <c r="H61" s="1050">
        <v>16.809999999999999</v>
      </c>
      <c r="I61" s="1050">
        <v>1000000</v>
      </c>
      <c r="J61" s="1050">
        <v>17.23</v>
      </c>
      <c r="K61" s="1046">
        <f t="shared" si="4"/>
        <v>16.809999999999999</v>
      </c>
      <c r="L61" s="1050">
        <v>17.23</v>
      </c>
      <c r="M61" s="1050">
        <v>1000000</v>
      </c>
      <c r="N61" s="1043">
        <f t="shared" si="5"/>
        <v>17.23</v>
      </c>
      <c r="O61" s="638"/>
      <c r="P61" s="241"/>
      <c r="Q61" s="241"/>
      <c r="R61" s="97"/>
      <c r="S61" s="97"/>
      <c r="T61" s="107"/>
      <c r="U61" s="92"/>
      <c r="V61" s="108"/>
      <c r="W61" s="92"/>
      <c r="X61" s="107"/>
      <c r="Y61" s="107"/>
      <c r="Z61" s="107"/>
      <c r="AA61" s="92"/>
      <c r="AB61" s="107"/>
      <c r="AC61" s="107"/>
      <c r="AD61" s="216"/>
      <c r="AE61" s="216"/>
      <c r="AF61" s="216"/>
      <c r="AG61" s="216"/>
      <c r="AH61" s="216"/>
      <c r="AI61" s="216"/>
      <c r="AJ61" s="216"/>
      <c r="AK61" s="216"/>
      <c r="AL61" s="216"/>
      <c r="AM61" s="216"/>
      <c r="AN61" s="216"/>
      <c r="AO61" s="216"/>
      <c r="AP61" s="216"/>
      <c r="AQ61" s="216"/>
      <c r="AR61" s="216"/>
    </row>
    <row r="62" spans="2:44" s="482" customFormat="1">
      <c r="B62" s="619">
        <v>258</v>
      </c>
      <c r="C62" s="624" t="s">
        <v>1899</v>
      </c>
      <c r="D62" s="853" t="s">
        <v>1898</v>
      </c>
      <c r="E62" s="1050">
        <v>1341</v>
      </c>
      <c r="F62" s="1050">
        <v>7.1219999999999999</v>
      </c>
      <c r="G62" s="1050">
        <v>15.01</v>
      </c>
      <c r="H62" s="1050">
        <v>49370</v>
      </c>
      <c r="I62" s="1050">
        <v>1341</v>
      </c>
      <c r="J62" s="1050">
        <v>22740</v>
      </c>
      <c r="K62" s="1046">
        <f t="shared" si="4"/>
        <v>1341</v>
      </c>
      <c r="L62" s="1050">
        <v>22740</v>
      </c>
      <c r="M62" s="1050">
        <v>10910</v>
      </c>
      <c r="N62" s="1043">
        <f t="shared" si="5"/>
        <v>10910</v>
      </c>
      <c r="O62" s="638"/>
      <c r="P62" s="462"/>
      <c r="Q62" s="462"/>
      <c r="R62" s="567"/>
      <c r="S62" s="567"/>
      <c r="T62" s="590"/>
      <c r="U62" s="591"/>
      <c r="V62" s="592"/>
      <c r="W62" s="591"/>
      <c r="X62" s="590"/>
      <c r="Y62" s="590"/>
      <c r="Z62" s="590"/>
      <c r="AA62" s="591"/>
      <c r="AB62" s="590"/>
      <c r="AC62" s="590"/>
      <c r="AD62" s="593"/>
      <c r="AE62" s="593"/>
      <c r="AF62" s="593"/>
      <c r="AG62" s="593"/>
      <c r="AH62" s="593"/>
      <c r="AI62" s="593"/>
      <c r="AJ62" s="593"/>
      <c r="AK62" s="593"/>
      <c r="AL62" s="593"/>
      <c r="AM62" s="593"/>
      <c r="AN62" s="593"/>
      <c r="AO62" s="593"/>
      <c r="AP62" s="593"/>
      <c r="AQ62" s="593"/>
      <c r="AR62" s="593"/>
    </row>
    <row r="63" spans="2:44">
      <c r="B63" s="619">
        <v>259</v>
      </c>
      <c r="C63" s="735" t="s">
        <v>1918</v>
      </c>
      <c r="D63" s="762" t="s">
        <v>1922</v>
      </c>
      <c r="E63" s="1050">
        <v>222.5</v>
      </c>
      <c r="F63" s="1050">
        <v>0.13850000000000001</v>
      </c>
      <c r="G63" s="1050">
        <v>0.16869999999999999</v>
      </c>
      <c r="H63" s="1050">
        <v>2.5339999999999998</v>
      </c>
      <c r="I63" s="1050">
        <v>222.5</v>
      </c>
      <c r="J63" s="1050">
        <v>2.2679999999999998</v>
      </c>
      <c r="K63" s="1046">
        <f t="shared" si="4"/>
        <v>2.2679999999999998</v>
      </c>
      <c r="L63" s="1050">
        <v>2.2679999999999998</v>
      </c>
      <c r="M63" s="1050">
        <v>15.33</v>
      </c>
      <c r="N63" s="1043">
        <f t="shared" si="5"/>
        <v>2.2679999999999998</v>
      </c>
      <c r="O63" s="738"/>
      <c r="P63" s="97"/>
      <c r="Q63" s="97"/>
      <c r="R63" s="109"/>
      <c r="S63" s="92"/>
      <c r="T63" s="108"/>
      <c r="U63" s="92"/>
      <c r="V63" s="109"/>
      <c r="W63" s="109"/>
      <c r="X63" s="109"/>
      <c r="Y63" s="92"/>
      <c r="Z63" s="109"/>
      <c r="AA63" s="109"/>
      <c r="AB63" s="216"/>
      <c r="AC63" s="216"/>
      <c r="AD63" s="216"/>
      <c r="AE63" s="216"/>
      <c r="AF63" s="216"/>
      <c r="AG63" s="216"/>
      <c r="AH63" s="216"/>
      <c r="AI63" s="216"/>
      <c r="AJ63" s="216"/>
      <c r="AK63" s="216"/>
      <c r="AL63" s="216"/>
      <c r="AM63" s="216"/>
      <c r="AN63" s="216"/>
      <c r="AO63" s="216"/>
      <c r="AP63" s="216"/>
    </row>
    <row r="64" spans="2:44">
      <c r="B64" s="619">
        <v>261</v>
      </c>
      <c r="C64" s="735" t="s">
        <v>1925</v>
      </c>
      <c r="D64" s="762" t="s">
        <v>1951</v>
      </c>
      <c r="E64" s="1050">
        <v>168100</v>
      </c>
      <c r="F64" s="1050">
        <v>115.8</v>
      </c>
      <c r="G64" s="1050">
        <v>180.8</v>
      </c>
      <c r="H64" s="1050">
        <v>1000000</v>
      </c>
      <c r="I64" s="1050">
        <v>168100</v>
      </c>
      <c r="J64" s="1050">
        <v>1000000</v>
      </c>
      <c r="K64" s="1046">
        <f t="shared" si="4"/>
        <v>168100</v>
      </c>
      <c r="L64" s="1050">
        <v>1000000</v>
      </c>
      <c r="M64" s="1050">
        <v>1000000</v>
      </c>
      <c r="N64" s="1043">
        <f t="shared" si="5"/>
        <v>1000000</v>
      </c>
      <c r="O64" s="738"/>
      <c r="P64" s="97"/>
      <c r="Q64" s="97"/>
      <c r="R64" s="107"/>
      <c r="S64" s="92"/>
      <c r="T64" s="108"/>
      <c r="U64" s="92"/>
      <c r="V64" s="107"/>
      <c r="W64" s="107"/>
      <c r="X64" s="107"/>
      <c r="Y64" s="92"/>
      <c r="Z64" s="107"/>
      <c r="AA64" s="107"/>
      <c r="AB64" s="216"/>
      <c r="AC64" s="216"/>
      <c r="AD64" s="216"/>
      <c r="AE64" s="216"/>
      <c r="AF64" s="216"/>
      <c r="AG64" s="216"/>
      <c r="AH64" s="216"/>
      <c r="AI64" s="216"/>
      <c r="AJ64" s="216"/>
      <c r="AK64" s="216"/>
      <c r="AL64" s="216"/>
      <c r="AM64" s="216"/>
      <c r="AN64" s="216"/>
      <c r="AO64" s="216"/>
      <c r="AP64" s="216"/>
    </row>
    <row r="65" spans="2:42">
      <c r="B65" s="619">
        <v>264</v>
      </c>
      <c r="C65" s="735" t="s">
        <v>1930</v>
      </c>
      <c r="D65" s="853" t="s">
        <v>1952</v>
      </c>
      <c r="E65" s="1050">
        <v>98780</v>
      </c>
      <c r="F65" s="1050">
        <v>16.73</v>
      </c>
      <c r="G65" s="1050">
        <v>28.26</v>
      </c>
      <c r="H65" s="1050">
        <v>6917</v>
      </c>
      <c r="I65" s="1050">
        <v>98780</v>
      </c>
      <c r="J65" s="1050">
        <v>7076</v>
      </c>
      <c r="K65" s="1046">
        <f t="shared" si="4"/>
        <v>6917</v>
      </c>
      <c r="L65" s="1050">
        <v>7076</v>
      </c>
      <c r="M65" s="1050">
        <v>471200</v>
      </c>
      <c r="N65" s="1043">
        <f t="shared" si="5"/>
        <v>7076</v>
      </c>
      <c r="O65" s="738"/>
      <c r="P65" s="97"/>
      <c r="Q65" s="97"/>
      <c r="R65" s="109"/>
      <c r="S65" s="92"/>
      <c r="T65" s="108"/>
      <c r="U65" s="92"/>
      <c r="V65" s="109"/>
      <c r="W65" s="109"/>
      <c r="X65" s="109"/>
      <c r="Y65" s="92"/>
      <c r="Z65" s="109"/>
      <c r="AA65" s="109"/>
      <c r="AB65" s="216"/>
      <c r="AC65" s="216"/>
      <c r="AD65" s="216"/>
      <c r="AE65" s="216"/>
      <c r="AF65" s="216"/>
      <c r="AG65" s="216"/>
      <c r="AH65" s="216"/>
      <c r="AI65" s="216"/>
      <c r="AJ65" s="216"/>
      <c r="AK65" s="216"/>
      <c r="AL65" s="216"/>
      <c r="AM65" s="216"/>
      <c r="AN65" s="216"/>
      <c r="AO65" s="216"/>
      <c r="AP65" s="216"/>
    </row>
    <row r="66" spans="2:42" ht="45">
      <c r="B66" s="619">
        <v>265</v>
      </c>
      <c r="C66" s="735" t="s">
        <v>1932</v>
      </c>
      <c r="D66" s="854" t="s">
        <v>1954</v>
      </c>
      <c r="E66" s="1052">
        <v>287900</v>
      </c>
      <c r="F66" s="1052">
        <v>128.30000000000001</v>
      </c>
      <c r="G66" s="1052">
        <v>188.6</v>
      </c>
      <c r="H66" s="1052">
        <v>1000000</v>
      </c>
      <c r="I66" s="1052">
        <v>287900</v>
      </c>
      <c r="J66" s="1052">
        <v>1000000</v>
      </c>
      <c r="K66" s="1046">
        <f t="shared" si="4"/>
        <v>287900</v>
      </c>
      <c r="L66" s="1052">
        <v>1000000</v>
      </c>
      <c r="M66" s="1052">
        <v>1000000</v>
      </c>
      <c r="N66" s="1043">
        <f t="shared" si="5"/>
        <v>1000000</v>
      </c>
      <c r="O66" s="816" t="s">
        <v>2366</v>
      </c>
      <c r="P66" s="97"/>
      <c r="Q66" s="97"/>
      <c r="R66" s="109"/>
      <c r="S66" s="92"/>
      <c r="T66" s="108"/>
      <c r="U66" s="92"/>
      <c r="V66" s="109"/>
      <c r="W66" s="109"/>
      <c r="X66" s="109"/>
      <c r="Y66" s="92"/>
      <c r="Z66" s="109"/>
      <c r="AA66" s="109"/>
      <c r="AB66" s="216"/>
      <c r="AC66" s="216"/>
      <c r="AD66" s="216"/>
      <c r="AE66" s="216"/>
      <c r="AF66" s="216"/>
      <c r="AG66" s="216"/>
      <c r="AH66" s="216"/>
      <c r="AI66" s="216"/>
      <c r="AJ66" s="216"/>
      <c r="AK66" s="216"/>
      <c r="AL66" s="216"/>
      <c r="AM66" s="216"/>
      <c r="AN66" s="216"/>
      <c r="AO66" s="216"/>
      <c r="AP66" s="216"/>
    </row>
    <row r="67" spans="2:42">
      <c r="B67" s="619">
        <v>267</v>
      </c>
      <c r="C67" s="735" t="s">
        <v>1956</v>
      </c>
      <c r="D67" s="854" t="s">
        <v>1957</v>
      </c>
      <c r="E67" s="1050">
        <v>37800</v>
      </c>
      <c r="F67" s="1050">
        <v>2.6459999999999999</v>
      </c>
      <c r="G67" s="1050">
        <v>2.8820000000000001</v>
      </c>
      <c r="H67" s="1050">
        <v>39.409999999999997</v>
      </c>
      <c r="I67" s="1050">
        <v>37800</v>
      </c>
      <c r="J67" s="1050">
        <v>40.380000000000003</v>
      </c>
      <c r="K67" s="1046">
        <f t="shared" si="4"/>
        <v>39.409999999999997</v>
      </c>
      <c r="L67" s="1050">
        <v>40.380000000000003</v>
      </c>
      <c r="M67" s="1050">
        <v>257.2</v>
      </c>
      <c r="N67" s="1043">
        <f t="shared" si="5"/>
        <v>40.380000000000003</v>
      </c>
      <c r="O67" s="738"/>
      <c r="P67" s="97"/>
      <c r="Q67" s="97"/>
      <c r="R67" s="109"/>
      <c r="S67" s="92"/>
      <c r="T67" s="108"/>
      <c r="U67" s="92"/>
      <c r="V67" s="109"/>
      <c r="W67" s="109"/>
      <c r="X67" s="109"/>
      <c r="Y67" s="92"/>
      <c r="Z67" s="109"/>
      <c r="AA67" s="109"/>
      <c r="AB67" s="216"/>
      <c r="AC67" s="216"/>
      <c r="AD67" s="216"/>
      <c r="AE67" s="216"/>
      <c r="AF67" s="216"/>
      <c r="AG67" s="216"/>
      <c r="AH67" s="216"/>
      <c r="AI67" s="216"/>
      <c r="AJ67" s="216"/>
      <c r="AK67" s="216"/>
      <c r="AL67" s="216"/>
      <c r="AM67" s="216"/>
      <c r="AN67" s="216"/>
      <c r="AO67" s="216"/>
      <c r="AP67" s="216"/>
    </row>
    <row r="68" spans="2:42">
      <c r="B68" s="619">
        <v>272</v>
      </c>
      <c r="C68" s="735" t="s">
        <v>1939</v>
      </c>
      <c r="D68" s="762" t="s">
        <v>1963</v>
      </c>
      <c r="E68" s="1043">
        <v>50430</v>
      </c>
      <c r="F68" s="1043">
        <v>5948</v>
      </c>
      <c r="G68" s="1046">
        <v>9879</v>
      </c>
      <c r="H68" s="1043">
        <v>1000000</v>
      </c>
      <c r="I68" s="1043">
        <v>50430</v>
      </c>
      <c r="J68" s="1043">
        <v>898600</v>
      </c>
      <c r="K68" s="1046">
        <f t="shared" si="4"/>
        <v>50430</v>
      </c>
      <c r="L68" s="1043">
        <v>898600</v>
      </c>
      <c r="M68" s="1043">
        <v>420500</v>
      </c>
      <c r="N68" s="1043">
        <f t="shared" si="5"/>
        <v>420500</v>
      </c>
      <c r="O68" s="739"/>
      <c r="P68" s="97"/>
      <c r="Q68" s="97"/>
      <c r="R68" s="92"/>
      <c r="S68" s="92"/>
      <c r="T68" s="84"/>
      <c r="U68" s="92"/>
      <c r="V68" s="92"/>
      <c r="W68" s="92"/>
      <c r="X68" s="92"/>
      <c r="Y68" s="92"/>
      <c r="Z68" s="92"/>
      <c r="AA68" s="92"/>
      <c r="AB68" s="216"/>
      <c r="AC68" s="216"/>
      <c r="AD68" s="216"/>
      <c r="AE68" s="216"/>
      <c r="AF68" s="216"/>
      <c r="AG68" s="216"/>
      <c r="AH68" s="216"/>
      <c r="AI68" s="216"/>
      <c r="AJ68" s="216"/>
      <c r="AK68" s="216"/>
      <c r="AL68" s="216"/>
      <c r="AM68" s="216"/>
      <c r="AN68" s="216"/>
      <c r="AO68" s="216"/>
      <c r="AP68" s="216"/>
    </row>
    <row r="69" spans="2:42" ht="45">
      <c r="B69" s="619">
        <v>276</v>
      </c>
      <c r="C69" s="735" t="s">
        <v>1943</v>
      </c>
      <c r="D69" s="631" t="s">
        <v>1966</v>
      </c>
      <c r="E69" s="1052">
        <v>1077</v>
      </c>
      <c r="F69" s="1052">
        <v>225.9</v>
      </c>
      <c r="G69" s="1052">
        <v>227.4</v>
      </c>
      <c r="H69" s="1052">
        <v>40950</v>
      </c>
      <c r="I69" s="1052">
        <v>1077</v>
      </c>
      <c r="J69" s="1052">
        <v>19080</v>
      </c>
      <c r="K69" s="1046">
        <f t="shared" si="4"/>
        <v>1077</v>
      </c>
      <c r="L69" s="1052">
        <v>19080</v>
      </c>
      <c r="M69" s="1052">
        <v>8959</v>
      </c>
      <c r="N69" s="1043">
        <f t="shared" si="5"/>
        <v>8959</v>
      </c>
      <c r="O69" s="814" t="s">
        <v>2366</v>
      </c>
      <c r="P69" s="97"/>
      <c r="Q69" s="97"/>
      <c r="R69" s="92"/>
      <c r="S69" s="92"/>
      <c r="T69" s="84"/>
      <c r="U69" s="92"/>
      <c r="V69" s="92"/>
      <c r="W69" s="92"/>
      <c r="X69" s="92"/>
      <c r="Y69" s="92"/>
      <c r="Z69" s="92"/>
      <c r="AA69" s="92"/>
      <c r="AB69" s="216"/>
      <c r="AC69" s="216"/>
      <c r="AD69" s="216"/>
      <c r="AE69" s="216"/>
      <c r="AF69" s="216"/>
      <c r="AG69" s="216"/>
      <c r="AH69" s="216"/>
      <c r="AI69" s="216"/>
      <c r="AJ69" s="216"/>
      <c r="AK69" s="216"/>
      <c r="AL69" s="216"/>
      <c r="AM69" s="216"/>
      <c r="AN69" s="216"/>
      <c r="AO69" s="216"/>
      <c r="AP69" s="216"/>
    </row>
    <row r="70" spans="2:42" ht="90">
      <c r="B70" s="619">
        <v>283</v>
      </c>
      <c r="C70" s="619" t="s">
        <v>1892</v>
      </c>
      <c r="D70" s="762" t="s">
        <v>1891</v>
      </c>
      <c r="E70" s="1043">
        <v>113.6</v>
      </c>
      <c r="F70" s="1045">
        <v>2.5000000000000001E-2</v>
      </c>
      <c r="G70" s="1045">
        <v>3.8859999999999999E-2</v>
      </c>
      <c r="H70" s="1043">
        <v>219.1</v>
      </c>
      <c r="I70" s="1043">
        <v>113.6</v>
      </c>
      <c r="J70" s="1043">
        <v>165.8</v>
      </c>
      <c r="K70" s="1046">
        <f t="shared" si="4"/>
        <v>113.6</v>
      </c>
      <c r="L70" s="1043">
        <v>165.8</v>
      </c>
      <c r="M70" s="1043">
        <v>279</v>
      </c>
      <c r="N70" s="1043">
        <f t="shared" si="5"/>
        <v>165.8</v>
      </c>
      <c r="O70" s="764" t="s">
        <v>1989</v>
      </c>
      <c r="P70" s="97"/>
      <c r="Q70" s="97"/>
      <c r="R70" s="92"/>
      <c r="S70" s="92"/>
      <c r="T70" s="84"/>
      <c r="U70" s="92"/>
      <c r="V70" s="92"/>
      <c r="W70" s="92"/>
      <c r="X70" s="92"/>
      <c r="Y70" s="92"/>
      <c r="Z70" s="92"/>
      <c r="AA70" s="92"/>
      <c r="AB70" s="216"/>
      <c r="AC70" s="216"/>
      <c r="AD70" s="216"/>
      <c r="AE70" s="216"/>
      <c r="AF70" s="216"/>
      <c r="AG70" s="216"/>
      <c r="AH70" s="216"/>
      <c r="AI70" s="216"/>
      <c r="AJ70" s="216"/>
      <c r="AK70" s="216"/>
      <c r="AL70" s="216"/>
      <c r="AM70" s="216"/>
      <c r="AN70" s="216"/>
      <c r="AO70" s="216"/>
      <c r="AP70" s="216"/>
    </row>
    <row r="71" spans="2:42">
      <c r="B71" s="212"/>
      <c r="C71" s="212"/>
      <c r="D71" s="212"/>
      <c r="E71" s="71"/>
      <c r="F71" s="97"/>
      <c r="G71" s="97"/>
      <c r="H71" s="97"/>
      <c r="I71" s="97"/>
      <c r="J71" s="97"/>
      <c r="K71" s="459"/>
      <c r="L71" s="97"/>
      <c r="M71" s="97"/>
      <c r="N71" s="97"/>
      <c r="O71" s="97"/>
      <c r="P71" s="97"/>
      <c r="Q71" s="97"/>
      <c r="R71" s="216"/>
      <c r="S71" s="216"/>
      <c r="T71" s="216"/>
      <c r="U71" s="216"/>
      <c r="V71" s="216"/>
      <c r="W71" s="216"/>
      <c r="X71" s="216"/>
      <c r="Y71" s="216"/>
      <c r="Z71" s="216"/>
      <c r="AA71" s="216"/>
      <c r="AB71" s="216"/>
      <c r="AC71" s="216"/>
      <c r="AD71" s="216"/>
      <c r="AE71" s="216"/>
      <c r="AF71" s="216"/>
      <c r="AG71" s="216"/>
      <c r="AH71" s="216"/>
      <c r="AI71" s="216"/>
      <c r="AJ71" s="216"/>
      <c r="AK71" s="216"/>
      <c r="AL71" s="216"/>
      <c r="AM71" s="216"/>
      <c r="AN71" s="216"/>
      <c r="AO71" s="216"/>
      <c r="AP71" s="216"/>
    </row>
    <row r="72" spans="2:42">
      <c r="B72" s="212"/>
      <c r="C72" s="212"/>
      <c r="D72" s="212"/>
      <c r="E72" s="71"/>
      <c r="F72" s="97"/>
      <c r="G72" s="97"/>
      <c r="H72" s="97"/>
      <c r="I72" s="97"/>
      <c r="J72" s="97"/>
      <c r="K72" s="459"/>
      <c r="L72" s="97"/>
      <c r="M72" s="97"/>
      <c r="N72" s="97"/>
      <c r="O72" s="97"/>
      <c r="P72" s="97"/>
      <c r="Q72" s="97"/>
      <c r="R72" s="216"/>
      <c r="S72" s="216"/>
      <c r="T72" s="216"/>
      <c r="U72" s="216"/>
      <c r="V72" s="216"/>
      <c r="W72" s="216"/>
      <c r="X72" s="216"/>
      <c r="Y72" s="216"/>
      <c r="Z72" s="216"/>
      <c r="AA72" s="216"/>
      <c r="AB72" s="216"/>
      <c r="AC72" s="216"/>
      <c r="AD72" s="216"/>
      <c r="AE72" s="216"/>
      <c r="AF72" s="216"/>
      <c r="AG72" s="216"/>
      <c r="AH72" s="216"/>
      <c r="AI72" s="216"/>
      <c r="AJ72" s="216"/>
      <c r="AK72" s="216"/>
      <c r="AL72" s="216"/>
      <c r="AM72" s="216"/>
      <c r="AN72" s="216"/>
      <c r="AO72" s="216"/>
      <c r="AP72" s="216"/>
    </row>
    <row r="73" spans="2:42">
      <c r="B73" s="212"/>
      <c r="C73" s="212"/>
      <c r="D73" s="212"/>
      <c r="E73" s="71"/>
      <c r="F73" s="97"/>
      <c r="G73" s="97"/>
      <c r="H73" s="97"/>
      <c r="I73" s="97"/>
      <c r="J73" s="97"/>
      <c r="K73" s="459"/>
      <c r="L73" s="97"/>
      <c r="M73" s="97"/>
      <c r="N73" s="97"/>
      <c r="O73" s="97"/>
      <c r="P73" s="97"/>
      <c r="Q73" s="97"/>
      <c r="R73" s="216"/>
      <c r="S73" s="216"/>
      <c r="T73" s="216"/>
      <c r="U73" s="216"/>
      <c r="V73" s="216"/>
      <c r="W73" s="216"/>
      <c r="X73" s="216"/>
      <c r="Y73" s="216"/>
      <c r="Z73" s="216"/>
      <c r="AA73" s="216"/>
      <c r="AB73" s="216"/>
      <c r="AC73" s="216"/>
      <c r="AD73" s="216"/>
      <c r="AE73" s="216"/>
      <c r="AF73" s="216"/>
      <c r="AG73" s="216"/>
      <c r="AH73" s="216"/>
      <c r="AI73" s="216"/>
      <c r="AJ73" s="216"/>
      <c r="AK73" s="216"/>
      <c r="AL73" s="216"/>
      <c r="AM73" s="216"/>
      <c r="AN73" s="216"/>
      <c r="AO73" s="216"/>
      <c r="AP73" s="216"/>
    </row>
    <row r="74" spans="2:42">
      <c r="B74" s="212"/>
      <c r="C74" s="212"/>
      <c r="D74" s="212"/>
      <c r="E74" s="71"/>
      <c r="F74" s="97"/>
      <c r="G74" s="97"/>
      <c r="H74" s="97"/>
      <c r="I74" s="97"/>
      <c r="J74" s="97"/>
      <c r="K74" s="459"/>
      <c r="L74" s="97"/>
      <c r="M74" s="97"/>
      <c r="N74" s="97"/>
      <c r="O74" s="97"/>
      <c r="P74" s="97"/>
      <c r="Q74" s="97"/>
      <c r="R74" s="216"/>
      <c r="S74" s="216"/>
      <c r="T74" s="216"/>
      <c r="U74" s="216"/>
      <c r="V74" s="216"/>
      <c r="W74" s="216"/>
      <c r="X74" s="216"/>
      <c r="Y74" s="216"/>
      <c r="Z74" s="216"/>
      <c r="AA74" s="216"/>
      <c r="AB74" s="216"/>
      <c r="AC74" s="216"/>
      <c r="AD74" s="216"/>
      <c r="AE74" s="216"/>
      <c r="AF74" s="216"/>
      <c r="AG74" s="216"/>
      <c r="AH74" s="216"/>
      <c r="AI74" s="216"/>
      <c r="AJ74" s="216"/>
      <c r="AK74" s="216"/>
      <c r="AL74" s="216"/>
      <c r="AM74" s="216"/>
      <c r="AN74" s="216"/>
      <c r="AO74" s="216"/>
      <c r="AP74" s="216"/>
    </row>
    <row r="75" spans="2:42">
      <c r="B75" s="212"/>
      <c r="C75" s="212"/>
      <c r="D75" s="212"/>
      <c r="E75" s="71"/>
      <c r="F75" s="97"/>
      <c r="G75" s="97"/>
      <c r="H75" s="97"/>
      <c r="I75" s="97"/>
      <c r="J75" s="97"/>
      <c r="K75" s="459"/>
      <c r="L75" s="97"/>
      <c r="M75" s="97"/>
      <c r="N75" s="97"/>
      <c r="O75" s="97"/>
      <c r="P75" s="97"/>
      <c r="Q75" s="97"/>
      <c r="R75" s="216"/>
      <c r="S75" s="216"/>
      <c r="T75" s="216"/>
      <c r="U75" s="216"/>
      <c r="V75" s="216"/>
      <c r="W75" s="216"/>
      <c r="X75" s="216"/>
      <c r="Y75" s="216"/>
      <c r="Z75" s="216"/>
      <c r="AA75" s="216"/>
      <c r="AB75" s="216"/>
      <c r="AC75" s="216"/>
      <c r="AD75" s="216"/>
      <c r="AE75" s="216"/>
      <c r="AF75" s="216"/>
      <c r="AG75" s="216"/>
      <c r="AH75" s="216"/>
      <c r="AI75" s="216"/>
      <c r="AJ75" s="216"/>
      <c r="AK75" s="216"/>
      <c r="AL75" s="216"/>
      <c r="AM75" s="216"/>
      <c r="AN75" s="216"/>
      <c r="AO75" s="216"/>
      <c r="AP75" s="216"/>
    </row>
    <row r="76" spans="2:42">
      <c r="B76" s="212"/>
      <c r="C76" s="212"/>
      <c r="D76" s="212"/>
      <c r="E76" s="71"/>
      <c r="F76" s="97"/>
      <c r="G76" s="97"/>
      <c r="H76" s="97"/>
      <c r="I76" s="97"/>
      <c r="J76" s="97"/>
      <c r="K76" s="459"/>
      <c r="L76" s="97"/>
      <c r="M76" s="97"/>
      <c r="N76" s="97"/>
      <c r="O76" s="97"/>
      <c r="P76" s="97"/>
      <c r="Q76" s="97"/>
      <c r="R76" s="216"/>
      <c r="S76" s="216"/>
      <c r="T76" s="216"/>
      <c r="U76" s="216"/>
      <c r="V76" s="216"/>
      <c r="W76" s="216"/>
      <c r="X76" s="216"/>
      <c r="Y76" s="216"/>
      <c r="Z76" s="216"/>
      <c r="AA76" s="216"/>
      <c r="AB76" s="216"/>
      <c r="AC76" s="216"/>
      <c r="AD76" s="216"/>
      <c r="AE76" s="216"/>
      <c r="AF76" s="216"/>
      <c r="AG76" s="216"/>
      <c r="AH76" s="216"/>
      <c r="AI76" s="216"/>
      <c r="AJ76" s="216"/>
      <c r="AK76" s="216"/>
      <c r="AL76" s="216"/>
      <c r="AM76" s="216"/>
      <c r="AN76" s="216"/>
      <c r="AO76" s="216"/>
      <c r="AP76" s="216"/>
    </row>
    <row r="77" spans="2:42">
      <c r="B77" s="212"/>
      <c r="C77" s="212"/>
      <c r="D77" s="212"/>
      <c r="E77" s="71"/>
      <c r="F77" s="97"/>
      <c r="G77" s="242"/>
      <c r="H77" s="242"/>
      <c r="I77" s="242"/>
      <c r="J77" s="97"/>
      <c r="K77" s="459"/>
      <c r="L77" s="97"/>
      <c r="M77" s="97"/>
      <c r="N77" s="97"/>
      <c r="O77" s="97"/>
      <c r="P77" s="97"/>
      <c r="Q77" s="97"/>
      <c r="R77" s="216"/>
      <c r="S77" s="216"/>
      <c r="T77" s="216"/>
      <c r="U77" s="216"/>
      <c r="V77" s="216"/>
      <c r="W77" s="216"/>
      <c r="X77" s="216"/>
      <c r="Y77" s="216"/>
      <c r="Z77" s="216"/>
      <c r="AA77" s="216"/>
      <c r="AB77" s="216"/>
      <c r="AC77" s="216"/>
      <c r="AD77" s="216"/>
      <c r="AE77" s="216"/>
      <c r="AF77" s="216"/>
      <c r="AG77" s="216"/>
      <c r="AH77" s="216"/>
      <c r="AI77" s="216"/>
      <c r="AJ77" s="216"/>
      <c r="AK77" s="216"/>
      <c r="AL77" s="216"/>
      <c r="AM77" s="216"/>
      <c r="AN77" s="216"/>
      <c r="AO77" s="216"/>
      <c r="AP77" s="216"/>
    </row>
    <row r="78" spans="2:42">
      <c r="B78" s="212"/>
      <c r="C78" s="212"/>
      <c r="D78" s="212"/>
      <c r="E78" s="71"/>
      <c r="F78" s="246"/>
      <c r="G78" s="97"/>
      <c r="H78" s="97"/>
      <c r="I78" s="97"/>
      <c r="J78" s="97"/>
      <c r="K78" s="459"/>
      <c r="L78" s="97"/>
      <c r="M78" s="97"/>
      <c r="N78" s="97"/>
      <c r="O78" s="97"/>
      <c r="P78" s="97"/>
      <c r="Q78" s="97"/>
      <c r="R78" s="216"/>
      <c r="S78" s="216"/>
      <c r="T78" s="216"/>
      <c r="U78" s="216"/>
      <c r="V78" s="216"/>
      <c r="W78" s="216"/>
      <c r="X78" s="216"/>
      <c r="Y78" s="216"/>
      <c r="Z78" s="216"/>
      <c r="AA78" s="216"/>
      <c r="AB78" s="216"/>
      <c r="AC78" s="216"/>
      <c r="AD78" s="216"/>
      <c r="AE78" s="216"/>
      <c r="AF78" s="216"/>
      <c r="AG78" s="216"/>
      <c r="AH78" s="216"/>
      <c r="AI78" s="216"/>
      <c r="AJ78" s="216"/>
      <c r="AK78" s="216"/>
      <c r="AL78" s="216"/>
      <c r="AM78" s="216"/>
      <c r="AN78" s="216"/>
      <c r="AO78" s="216"/>
      <c r="AP78" s="216"/>
    </row>
    <row r="79" spans="2:42">
      <c r="B79" s="212"/>
      <c r="C79" s="212"/>
      <c r="D79" s="212"/>
      <c r="E79" s="71"/>
      <c r="F79" s="97"/>
      <c r="G79" s="97"/>
      <c r="H79" s="97"/>
      <c r="I79" s="97"/>
      <c r="J79" s="97"/>
      <c r="K79" s="459"/>
      <c r="L79" s="97"/>
      <c r="M79" s="97"/>
      <c r="N79" s="97"/>
      <c r="O79" s="97"/>
      <c r="P79" s="97"/>
      <c r="Q79" s="97"/>
      <c r="R79" s="216"/>
      <c r="S79" s="216"/>
      <c r="T79" s="216"/>
      <c r="U79" s="216"/>
      <c r="V79" s="216"/>
      <c r="W79" s="216"/>
      <c r="X79" s="216"/>
      <c r="Y79" s="216"/>
      <c r="Z79" s="216"/>
      <c r="AA79" s="216"/>
      <c r="AB79" s="216"/>
      <c r="AC79" s="216"/>
      <c r="AD79" s="216"/>
      <c r="AE79" s="216"/>
      <c r="AF79" s="216"/>
      <c r="AG79" s="216"/>
      <c r="AH79" s="216"/>
      <c r="AI79" s="216"/>
      <c r="AJ79" s="216"/>
      <c r="AK79" s="216"/>
      <c r="AL79" s="216"/>
      <c r="AM79" s="216"/>
      <c r="AN79" s="216"/>
      <c r="AO79" s="216"/>
      <c r="AP79" s="216"/>
    </row>
    <row r="80" spans="2:42">
      <c r="B80" s="212"/>
      <c r="C80" s="212"/>
      <c r="D80" s="212"/>
      <c r="E80" s="71"/>
      <c r="F80" s="97"/>
      <c r="G80" s="97"/>
      <c r="H80" s="97"/>
      <c r="I80" s="97"/>
      <c r="J80" s="97"/>
      <c r="K80" s="459"/>
      <c r="L80" s="97"/>
      <c r="M80" s="97"/>
      <c r="N80" s="97"/>
      <c r="O80" s="97"/>
      <c r="P80" s="97"/>
      <c r="Q80" s="97"/>
      <c r="R80" s="216"/>
      <c r="S80" s="216"/>
      <c r="T80" s="216"/>
      <c r="U80" s="216"/>
      <c r="V80" s="216"/>
      <c r="W80" s="216"/>
      <c r="X80" s="216"/>
      <c r="Y80" s="216"/>
      <c r="Z80" s="216"/>
      <c r="AA80" s="216"/>
      <c r="AB80" s="216"/>
      <c r="AC80" s="216"/>
      <c r="AD80" s="216"/>
      <c r="AE80" s="216"/>
      <c r="AF80" s="216"/>
      <c r="AG80" s="216"/>
      <c r="AH80" s="216"/>
      <c r="AI80" s="216"/>
      <c r="AJ80" s="216"/>
      <c r="AK80" s="216"/>
      <c r="AL80" s="216"/>
      <c r="AM80" s="216"/>
      <c r="AN80" s="216"/>
      <c r="AO80" s="216"/>
      <c r="AP80" s="216"/>
    </row>
    <row r="81" spans="2:42">
      <c r="B81" s="212"/>
      <c r="C81" s="212"/>
      <c r="D81" s="212"/>
      <c r="E81" s="71"/>
      <c r="F81" s="97"/>
      <c r="G81" s="97"/>
      <c r="H81" s="97"/>
      <c r="I81" s="97"/>
      <c r="J81" s="97"/>
      <c r="K81" s="459"/>
      <c r="L81" s="97"/>
      <c r="M81" s="97"/>
      <c r="N81" s="97"/>
      <c r="O81" s="97"/>
      <c r="P81" s="97"/>
      <c r="Q81" s="97"/>
      <c r="R81" s="216"/>
      <c r="S81" s="216"/>
      <c r="T81" s="216"/>
      <c r="U81" s="216"/>
      <c r="V81" s="216"/>
      <c r="W81" s="216"/>
      <c r="X81" s="216"/>
      <c r="Y81" s="216"/>
      <c r="Z81" s="216"/>
      <c r="AA81" s="216"/>
      <c r="AB81" s="216"/>
      <c r="AC81" s="216"/>
      <c r="AD81" s="216"/>
      <c r="AE81" s="216"/>
      <c r="AF81" s="216"/>
      <c r="AG81" s="216"/>
      <c r="AH81" s="216"/>
      <c r="AI81" s="216"/>
      <c r="AJ81" s="216"/>
      <c r="AK81" s="216"/>
      <c r="AL81" s="216"/>
      <c r="AM81" s="216"/>
      <c r="AN81" s="216"/>
      <c r="AO81" s="216"/>
      <c r="AP81" s="216"/>
    </row>
    <row r="82" spans="2:42">
      <c r="B82" s="212"/>
      <c r="C82" s="212"/>
      <c r="D82" s="212"/>
      <c r="E82" s="71"/>
      <c r="F82" s="97"/>
      <c r="G82" s="97"/>
      <c r="H82" s="97"/>
      <c r="I82" s="97"/>
      <c r="J82" s="97"/>
      <c r="K82" s="459"/>
      <c r="L82" s="97"/>
      <c r="M82" s="97"/>
      <c r="N82" s="97"/>
      <c r="O82" s="97"/>
      <c r="P82" s="97"/>
      <c r="Q82" s="97"/>
      <c r="R82" s="216"/>
      <c r="S82" s="216"/>
      <c r="T82" s="216"/>
      <c r="U82" s="216"/>
      <c r="V82" s="216"/>
      <c r="W82" s="216"/>
      <c r="X82" s="216"/>
      <c r="Y82" s="216"/>
      <c r="Z82" s="216"/>
      <c r="AA82" s="216"/>
      <c r="AB82" s="216"/>
      <c r="AC82" s="216"/>
      <c r="AD82" s="216"/>
      <c r="AE82" s="216"/>
      <c r="AF82" s="216"/>
      <c r="AG82" s="216"/>
      <c r="AH82" s="216"/>
      <c r="AI82" s="216"/>
      <c r="AJ82" s="216"/>
      <c r="AK82" s="216"/>
      <c r="AL82" s="216"/>
      <c r="AM82" s="216"/>
      <c r="AN82" s="216"/>
      <c r="AO82" s="216"/>
      <c r="AP82" s="216"/>
    </row>
    <row r="83" spans="2:42">
      <c r="B83" s="212"/>
      <c r="C83" s="212"/>
      <c r="D83" s="212"/>
      <c r="E83" s="71"/>
      <c r="F83" s="97"/>
      <c r="G83" s="97"/>
      <c r="H83" s="97"/>
      <c r="I83" s="97"/>
      <c r="J83" s="97"/>
      <c r="K83" s="459"/>
      <c r="L83" s="97"/>
      <c r="M83" s="97"/>
      <c r="N83" s="97"/>
      <c r="O83" s="97"/>
      <c r="P83" s="97"/>
      <c r="Q83" s="97"/>
      <c r="R83" s="216"/>
      <c r="S83" s="216"/>
      <c r="T83" s="216"/>
      <c r="U83" s="216"/>
      <c r="V83" s="216"/>
      <c r="W83" s="216"/>
      <c r="X83" s="216"/>
      <c r="Y83" s="216"/>
      <c r="Z83" s="216"/>
      <c r="AA83" s="216"/>
      <c r="AB83" s="216"/>
      <c r="AC83" s="216"/>
      <c r="AD83" s="216"/>
      <c r="AE83" s="216"/>
      <c r="AF83" s="216"/>
      <c r="AG83" s="216"/>
      <c r="AH83" s="216"/>
      <c r="AI83" s="216"/>
      <c r="AJ83" s="216"/>
      <c r="AK83" s="216"/>
      <c r="AL83" s="216"/>
      <c r="AM83" s="216"/>
      <c r="AN83" s="216"/>
      <c r="AO83" s="216"/>
      <c r="AP83" s="216"/>
    </row>
    <row r="84" spans="2:42">
      <c r="B84" s="212"/>
      <c r="C84" s="212"/>
      <c r="D84" s="212"/>
      <c r="E84" s="71"/>
      <c r="F84" s="97"/>
      <c r="G84" s="97"/>
      <c r="H84" s="97"/>
      <c r="I84" s="97"/>
      <c r="J84" s="97"/>
      <c r="K84" s="459"/>
      <c r="L84" s="97"/>
      <c r="M84" s="97"/>
      <c r="N84" s="97"/>
      <c r="O84" s="97"/>
      <c r="P84" s="97"/>
      <c r="Q84" s="97"/>
      <c r="R84" s="216"/>
      <c r="S84" s="216"/>
      <c r="T84" s="216"/>
      <c r="U84" s="216"/>
      <c r="V84" s="216"/>
      <c r="W84" s="216"/>
      <c r="X84" s="216"/>
      <c r="Y84" s="216"/>
      <c r="Z84" s="216"/>
      <c r="AA84" s="216"/>
      <c r="AB84" s="216"/>
      <c r="AC84" s="216"/>
      <c r="AD84" s="216"/>
      <c r="AE84" s="216"/>
      <c r="AF84" s="216"/>
      <c r="AG84" s="216"/>
      <c r="AH84" s="216"/>
      <c r="AI84" s="216"/>
      <c r="AJ84" s="216"/>
      <c r="AK84" s="216"/>
      <c r="AL84" s="216"/>
      <c r="AM84" s="216"/>
      <c r="AN84" s="216"/>
      <c r="AO84" s="216"/>
      <c r="AP84" s="216"/>
    </row>
    <row r="85" spans="2:42">
      <c r="B85" s="212"/>
      <c r="C85" s="212"/>
      <c r="D85" s="212"/>
      <c r="E85" s="71"/>
      <c r="F85" s="97"/>
      <c r="G85" s="97"/>
      <c r="H85" s="97"/>
      <c r="I85" s="97"/>
      <c r="J85" s="97"/>
      <c r="K85" s="459"/>
      <c r="L85" s="97"/>
      <c r="M85" s="97"/>
      <c r="N85" s="97"/>
      <c r="O85" s="97"/>
      <c r="P85" s="97"/>
      <c r="Q85" s="97"/>
      <c r="R85" s="216"/>
      <c r="S85" s="216"/>
      <c r="T85" s="216"/>
      <c r="U85" s="216"/>
      <c r="V85" s="216"/>
      <c r="W85" s="216"/>
      <c r="X85" s="216"/>
      <c r="Y85" s="216"/>
      <c r="Z85" s="216"/>
      <c r="AA85" s="216"/>
      <c r="AB85" s="216"/>
      <c r="AC85" s="216"/>
      <c r="AD85" s="216"/>
      <c r="AE85" s="216"/>
      <c r="AF85" s="216"/>
      <c r="AG85" s="216"/>
      <c r="AH85" s="216"/>
      <c r="AI85" s="216"/>
      <c r="AJ85" s="216"/>
      <c r="AK85" s="216"/>
      <c r="AL85" s="216"/>
      <c r="AM85" s="216"/>
      <c r="AN85" s="216"/>
      <c r="AO85" s="216"/>
      <c r="AP85" s="216"/>
    </row>
    <row r="86" spans="2:42">
      <c r="B86" s="212"/>
      <c r="C86" s="212"/>
      <c r="D86" s="212"/>
      <c r="E86" s="71"/>
      <c r="F86" s="97"/>
      <c r="G86" s="97"/>
      <c r="H86" s="97"/>
      <c r="I86" s="97"/>
      <c r="J86" s="97"/>
      <c r="K86" s="459"/>
      <c r="L86" s="97"/>
      <c r="M86" s="97"/>
      <c r="N86" s="97"/>
      <c r="O86" s="97"/>
      <c r="P86" s="97"/>
      <c r="Q86" s="97"/>
      <c r="R86" s="216"/>
      <c r="S86" s="216"/>
      <c r="T86" s="216"/>
      <c r="U86" s="216"/>
      <c r="V86" s="216"/>
      <c r="W86" s="216"/>
      <c r="X86" s="216"/>
      <c r="Y86" s="216"/>
      <c r="Z86" s="216"/>
      <c r="AA86" s="216"/>
      <c r="AB86" s="216"/>
      <c r="AC86" s="216"/>
      <c r="AD86" s="216"/>
      <c r="AE86" s="216"/>
      <c r="AF86" s="216"/>
      <c r="AG86" s="216"/>
      <c r="AH86" s="216"/>
      <c r="AI86" s="216"/>
      <c r="AJ86" s="216"/>
      <c r="AK86" s="216"/>
      <c r="AL86" s="216"/>
      <c r="AM86" s="216"/>
      <c r="AN86" s="216"/>
      <c r="AO86" s="216"/>
      <c r="AP86" s="216"/>
    </row>
    <row r="87" spans="2:42">
      <c r="B87" s="212"/>
      <c r="C87" s="212"/>
      <c r="D87" s="212"/>
      <c r="E87" s="71"/>
      <c r="F87" s="97"/>
      <c r="G87" s="97"/>
      <c r="H87" s="97"/>
      <c r="I87" s="97"/>
      <c r="J87" s="97"/>
      <c r="K87" s="459"/>
      <c r="L87" s="97"/>
      <c r="M87" s="97"/>
      <c r="N87" s="97"/>
      <c r="O87" s="97"/>
      <c r="P87" s="97"/>
      <c r="Q87" s="97"/>
      <c r="R87" s="216"/>
      <c r="S87" s="216"/>
      <c r="T87" s="216"/>
      <c r="U87" s="216"/>
      <c r="V87" s="216"/>
      <c r="W87" s="216"/>
      <c r="X87" s="216"/>
      <c r="Y87" s="216"/>
      <c r="Z87" s="216"/>
      <c r="AA87" s="216"/>
      <c r="AB87" s="216"/>
      <c r="AC87" s="216"/>
      <c r="AD87" s="216"/>
      <c r="AE87" s="216"/>
      <c r="AF87" s="216"/>
      <c r="AG87" s="216"/>
      <c r="AH87" s="216"/>
      <c r="AI87" s="216"/>
      <c r="AJ87" s="216"/>
      <c r="AK87" s="216"/>
      <c r="AL87" s="216"/>
      <c r="AM87" s="216"/>
      <c r="AN87" s="216"/>
      <c r="AO87" s="216"/>
      <c r="AP87" s="216"/>
    </row>
    <row r="88" spans="2:42">
      <c r="B88" s="212"/>
      <c r="C88" s="212"/>
      <c r="D88" s="212"/>
      <c r="E88" s="71"/>
      <c r="F88" s="97"/>
      <c r="G88" s="97"/>
      <c r="H88" s="97"/>
      <c r="I88" s="97"/>
      <c r="J88" s="97"/>
      <c r="K88" s="459"/>
      <c r="L88" s="97"/>
      <c r="M88" s="97"/>
      <c r="N88" s="97"/>
      <c r="O88" s="97"/>
      <c r="P88" s="97"/>
      <c r="Q88" s="97"/>
      <c r="R88" s="216"/>
      <c r="S88" s="216"/>
      <c r="T88" s="216"/>
      <c r="U88" s="216"/>
      <c r="V88" s="216"/>
      <c r="W88" s="216"/>
      <c r="X88" s="216"/>
      <c r="Y88" s="216"/>
      <c r="Z88" s="216"/>
      <c r="AA88" s="216"/>
      <c r="AB88" s="216"/>
      <c r="AC88" s="216"/>
      <c r="AD88" s="216"/>
      <c r="AE88" s="216"/>
      <c r="AF88" s="216"/>
      <c r="AG88" s="216"/>
      <c r="AH88" s="216"/>
      <c r="AI88" s="216"/>
      <c r="AJ88" s="216"/>
      <c r="AK88" s="216"/>
      <c r="AL88" s="216"/>
      <c r="AM88" s="216"/>
      <c r="AN88" s="216"/>
      <c r="AO88" s="216"/>
      <c r="AP88" s="216"/>
    </row>
    <row r="89" spans="2:42">
      <c r="B89" s="212"/>
      <c r="C89" s="212"/>
      <c r="D89" s="212"/>
      <c r="E89" s="71"/>
      <c r="F89" s="97"/>
      <c r="G89" s="97"/>
      <c r="H89" s="97"/>
      <c r="I89" s="97"/>
      <c r="J89" s="97"/>
      <c r="K89" s="459"/>
      <c r="L89" s="97"/>
      <c r="M89" s="97"/>
      <c r="N89" s="97"/>
      <c r="O89" s="97"/>
      <c r="P89" s="97"/>
      <c r="Q89" s="97"/>
      <c r="R89" s="216"/>
      <c r="S89" s="216"/>
      <c r="T89" s="216"/>
      <c r="U89" s="216"/>
      <c r="V89" s="216"/>
      <c r="W89" s="216"/>
      <c r="X89" s="216"/>
      <c r="Y89" s="216"/>
      <c r="Z89" s="216"/>
      <c r="AA89" s="216"/>
      <c r="AB89" s="216"/>
      <c r="AC89" s="216"/>
      <c r="AD89" s="216"/>
      <c r="AE89" s="216"/>
      <c r="AF89" s="216"/>
      <c r="AG89" s="216"/>
      <c r="AH89" s="216"/>
      <c r="AI89" s="216"/>
      <c r="AJ89" s="216"/>
      <c r="AK89" s="216"/>
      <c r="AL89" s="216"/>
      <c r="AM89" s="216"/>
      <c r="AN89" s="216"/>
      <c r="AO89" s="216"/>
      <c r="AP89" s="216"/>
    </row>
    <row r="90" spans="2:42">
      <c r="B90" s="212"/>
      <c r="C90" s="212"/>
      <c r="D90" s="212"/>
      <c r="E90" s="71"/>
      <c r="F90" s="97"/>
      <c r="G90" s="97"/>
      <c r="H90" s="97"/>
      <c r="I90" s="97"/>
      <c r="J90" s="97"/>
      <c r="K90" s="459"/>
      <c r="L90" s="97"/>
      <c r="M90" s="97"/>
      <c r="N90" s="97"/>
      <c r="O90" s="97"/>
      <c r="P90" s="97"/>
      <c r="Q90" s="97"/>
      <c r="R90" s="216"/>
      <c r="S90" s="216"/>
      <c r="T90" s="216"/>
      <c r="U90" s="216"/>
      <c r="V90" s="216"/>
      <c r="W90" s="216"/>
      <c r="X90" s="216"/>
      <c r="Y90" s="216"/>
      <c r="Z90" s="216"/>
      <c r="AA90" s="216"/>
      <c r="AB90" s="216"/>
      <c r="AC90" s="216"/>
      <c r="AD90" s="216"/>
      <c r="AE90" s="216"/>
      <c r="AF90" s="216"/>
      <c r="AG90" s="216"/>
      <c r="AH90" s="216"/>
      <c r="AI90" s="216"/>
      <c r="AJ90" s="216"/>
      <c r="AK90" s="216"/>
      <c r="AL90" s="216"/>
      <c r="AM90" s="216"/>
      <c r="AN90" s="216"/>
      <c r="AO90" s="216"/>
      <c r="AP90" s="216"/>
    </row>
    <row r="91" spans="2:42">
      <c r="B91" s="212"/>
      <c r="C91" s="212"/>
      <c r="D91" s="212"/>
      <c r="E91" s="71"/>
      <c r="F91" s="97"/>
      <c r="G91" s="97"/>
      <c r="H91" s="97"/>
      <c r="I91" s="97"/>
      <c r="J91" s="97"/>
      <c r="K91" s="459"/>
      <c r="L91" s="97"/>
      <c r="M91" s="97"/>
      <c r="N91" s="97"/>
      <c r="O91" s="97"/>
      <c r="P91" s="97"/>
      <c r="Q91" s="97"/>
      <c r="R91" s="216"/>
      <c r="S91" s="216"/>
      <c r="T91" s="216"/>
      <c r="U91" s="216"/>
      <c r="V91" s="216"/>
      <c r="W91" s="216"/>
      <c r="X91" s="216"/>
      <c r="Y91" s="216"/>
      <c r="Z91" s="216"/>
      <c r="AA91" s="216"/>
      <c r="AB91" s="216"/>
      <c r="AC91" s="216"/>
      <c r="AD91" s="216"/>
      <c r="AE91" s="216"/>
      <c r="AF91" s="216"/>
      <c r="AG91" s="216"/>
      <c r="AH91" s="216"/>
      <c r="AI91" s="216"/>
      <c r="AJ91" s="216"/>
      <c r="AK91" s="216"/>
      <c r="AL91" s="216"/>
      <c r="AM91" s="216"/>
      <c r="AN91" s="216"/>
      <c r="AO91" s="216"/>
      <c r="AP91" s="216"/>
    </row>
    <row r="92" spans="2:42">
      <c r="B92" s="212"/>
      <c r="C92" s="212"/>
      <c r="D92" s="212"/>
      <c r="E92" s="71"/>
      <c r="F92" s="97"/>
      <c r="G92" s="97"/>
      <c r="H92" s="97"/>
      <c r="I92" s="97"/>
      <c r="J92" s="97"/>
      <c r="K92" s="459"/>
      <c r="L92" s="97"/>
      <c r="M92" s="97"/>
      <c r="N92" s="97"/>
      <c r="O92" s="97"/>
      <c r="P92" s="97"/>
      <c r="Q92" s="97"/>
      <c r="R92" s="216"/>
      <c r="S92" s="216"/>
      <c r="T92" s="216"/>
      <c r="U92" s="216"/>
      <c r="V92" s="216"/>
      <c r="W92" s="216"/>
      <c r="X92" s="216"/>
      <c r="Y92" s="216"/>
      <c r="Z92" s="216"/>
      <c r="AA92" s="216"/>
      <c r="AB92" s="216"/>
      <c r="AC92" s="216"/>
      <c r="AD92" s="216"/>
      <c r="AE92" s="216"/>
      <c r="AF92" s="216"/>
      <c r="AG92" s="216"/>
      <c r="AH92" s="216"/>
      <c r="AI92" s="216"/>
      <c r="AJ92" s="216"/>
      <c r="AK92" s="216"/>
      <c r="AL92" s="216"/>
      <c r="AM92" s="216"/>
      <c r="AN92" s="216"/>
      <c r="AO92" s="216"/>
      <c r="AP92" s="216"/>
    </row>
    <row r="93" spans="2:42">
      <c r="B93" s="212"/>
      <c r="C93" s="218"/>
      <c r="D93" s="212"/>
      <c r="E93" s="71"/>
      <c r="F93" s="97"/>
      <c r="G93" s="97"/>
      <c r="H93" s="97"/>
      <c r="I93" s="97"/>
      <c r="J93" s="97"/>
      <c r="K93" s="459"/>
      <c r="L93" s="97"/>
      <c r="M93" s="97"/>
      <c r="N93" s="97"/>
      <c r="O93" s="97"/>
      <c r="P93" s="97"/>
      <c r="Q93" s="97"/>
      <c r="R93" s="216"/>
      <c r="S93" s="216"/>
      <c r="T93" s="216"/>
      <c r="U93" s="216"/>
      <c r="V93" s="216"/>
      <c r="W93" s="216"/>
      <c r="X93" s="216"/>
      <c r="Y93" s="216"/>
      <c r="Z93" s="216"/>
      <c r="AA93" s="216"/>
      <c r="AB93" s="216"/>
      <c r="AC93" s="216"/>
      <c r="AD93" s="216"/>
      <c r="AE93" s="216"/>
      <c r="AF93" s="216"/>
      <c r="AG93" s="216"/>
      <c r="AH93" s="216"/>
      <c r="AI93" s="216"/>
      <c r="AJ93" s="216"/>
      <c r="AK93" s="216"/>
      <c r="AL93" s="216"/>
      <c r="AM93" s="216"/>
      <c r="AN93" s="216"/>
      <c r="AO93" s="216"/>
      <c r="AP93" s="216"/>
    </row>
    <row r="94" spans="2:42">
      <c r="B94" s="212"/>
      <c r="C94" s="218"/>
      <c r="D94" s="212"/>
      <c r="E94" s="71"/>
      <c r="F94" s="97"/>
      <c r="G94" s="97"/>
      <c r="H94" s="97"/>
      <c r="I94" s="97"/>
      <c r="J94" s="97"/>
      <c r="K94" s="459"/>
      <c r="L94" s="97"/>
      <c r="M94" s="97"/>
      <c r="N94" s="97"/>
      <c r="O94" s="97"/>
      <c r="P94" s="97"/>
      <c r="Q94" s="97"/>
      <c r="R94" s="216"/>
      <c r="S94" s="216"/>
      <c r="T94" s="216"/>
      <c r="U94" s="216"/>
      <c r="V94" s="216"/>
      <c r="W94" s="216"/>
      <c r="X94" s="216"/>
      <c r="Y94" s="216"/>
      <c r="Z94" s="216"/>
      <c r="AA94" s="216"/>
      <c r="AB94" s="216"/>
      <c r="AC94" s="216"/>
      <c r="AD94" s="216"/>
      <c r="AE94" s="216"/>
      <c r="AF94" s="216"/>
      <c r="AG94" s="216"/>
      <c r="AH94" s="216"/>
      <c r="AI94" s="216"/>
      <c r="AJ94" s="216"/>
      <c r="AK94" s="216"/>
      <c r="AL94" s="216"/>
      <c r="AM94" s="216"/>
      <c r="AN94" s="216"/>
      <c r="AO94" s="216"/>
      <c r="AP94" s="216"/>
    </row>
    <row r="95" spans="2:42">
      <c r="B95" s="212"/>
      <c r="C95" s="218"/>
      <c r="D95" s="212"/>
      <c r="E95" s="71"/>
      <c r="F95" s="97"/>
      <c r="G95" s="97"/>
      <c r="H95" s="97"/>
      <c r="I95" s="97"/>
      <c r="J95" s="97"/>
      <c r="K95" s="459"/>
      <c r="L95" s="97"/>
      <c r="M95" s="97"/>
      <c r="N95" s="97"/>
      <c r="O95" s="97"/>
      <c r="P95" s="97"/>
      <c r="Q95" s="97"/>
      <c r="R95" s="216"/>
      <c r="S95" s="216"/>
      <c r="T95" s="216"/>
      <c r="U95" s="216"/>
      <c r="V95" s="216"/>
      <c r="W95" s="216"/>
      <c r="X95" s="216"/>
      <c r="Y95" s="216"/>
      <c r="Z95" s="216"/>
      <c r="AA95" s="216"/>
      <c r="AB95" s="216"/>
      <c r="AC95" s="216"/>
      <c r="AD95" s="216"/>
      <c r="AE95" s="216"/>
      <c r="AF95" s="216"/>
      <c r="AG95" s="216"/>
      <c r="AH95" s="216"/>
      <c r="AI95" s="216"/>
      <c r="AJ95" s="216"/>
      <c r="AK95" s="216"/>
      <c r="AL95" s="216"/>
      <c r="AM95" s="216"/>
      <c r="AN95" s="216"/>
      <c r="AO95" s="216"/>
      <c r="AP95" s="216"/>
    </row>
    <row r="96" spans="2:42">
      <c r="B96" s="212"/>
      <c r="C96" s="218"/>
      <c r="D96" s="212"/>
      <c r="E96" s="71"/>
      <c r="F96" s="97"/>
      <c r="G96" s="242"/>
      <c r="H96" s="242"/>
      <c r="I96" s="242"/>
      <c r="J96" s="242"/>
      <c r="K96" s="463"/>
      <c r="L96" s="242"/>
      <c r="M96" s="97"/>
      <c r="N96" s="97"/>
      <c r="O96" s="97"/>
      <c r="P96" s="97"/>
      <c r="Q96" s="97"/>
    </row>
    <row r="97" spans="2:17">
      <c r="B97" s="212"/>
      <c r="C97" s="218"/>
      <c r="D97" s="212"/>
      <c r="E97" s="71"/>
      <c r="F97" s="97"/>
      <c r="G97" s="97"/>
      <c r="H97" s="97"/>
      <c r="I97" s="97"/>
      <c r="J97" s="97"/>
      <c r="K97" s="459"/>
      <c r="L97" s="97"/>
      <c r="M97" s="97"/>
      <c r="N97" s="97"/>
      <c r="O97" s="97"/>
      <c r="P97" s="97"/>
      <c r="Q97" s="97"/>
    </row>
    <row r="98" spans="2:17">
      <c r="B98" s="212"/>
      <c r="C98" s="212"/>
      <c r="D98" s="212"/>
      <c r="E98" s="71"/>
      <c r="F98" s="97"/>
      <c r="G98" s="97"/>
      <c r="H98" s="97"/>
      <c r="I98" s="97"/>
      <c r="J98" s="97"/>
      <c r="K98" s="459"/>
      <c r="L98" s="97"/>
      <c r="M98" s="97"/>
      <c r="N98" s="97"/>
      <c r="O98" s="97"/>
      <c r="P98" s="97"/>
      <c r="Q98" s="97"/>
    </row>
    <row r="99" spans="2:17">
      <c r="B99" s="212"/>
      <c r="C99" s="212"/>
      <c r="D99" s="212"/>
      <c r="E99" s="71"/>
      <c r="F99" s="97"/>
      <c r="G99" s="97"/>
      <c r="H99" s="97"/>
      <c r="I99" s="97"/>
      <c r="J99" s="97"/>
      <c r="K99" s="459"/>
      <c r="L99" s="97"/>
      <c r="M99" s="97"/>
      <c r="N99" s="97"/>
      <c r="O99" s="97"/>
      <c r="P99" s="97"/>
      <c r="Q99" s="97"/>
    </row>
    <row r="100" spans="2:17">
      <c r="B100" s="212"/>
      <c r="C100" s="212"/>
      <c r="D100" s="212"/>
      <c r="E100" s="71"/>
      <c r="F100" s="97"/>
      <c r="G100" s="97"/>
      <c r="H100" s="97"/>
      <c r="I100" s="97"/>
      <c r="J100" s="97"/>
      <c r="K100" s="459"/>
      <c r="L100" s="97"/>
      <c r="M100" s="97"/>
      <c r="N100" s="97"/>
      <c r="O100" s="97"/>
      <c r="P100" s="97"/>
      <c r="Q100" s="97"/>
    </row>
    <row r="101" spans="2:17">
      <c r="B101" s="212"/>
      <c r="C101" s="212"/>
      <c r="D101" s="212"/>
      <c r="E101" s="71"/>
      <c r="F101" s="97"/>
      <c r="G101" s="97"/>
      <c r="H101" s="97"/>
      <c r="I101" s="97"/>
      <c r="J101" s="97"/>
      <c r="K101" s="459"/>
      <c r="L101" s="97"/>
      <c r="M101" s="97"/>
      <c r="N101" s="97"/>
      <c r="O101" s="97"/>
      <c r="P101" s="97"/>
      <c r="Q101" s="97"/>
    </row>
    <row r="102" spans="2:17">
      <c r="B102" s="212"/>
      <c r="C102" s="212"/>
      <c r="D102" s="212"/>
      <c r="E102" s="71"/>
      <c r="F102" s="97"/>
      <c r="G102" s="97"/>
      <c r="H102" s="97"/>
      <c r="I102" s="97"/>
      <c r="J102" s="97"/>
      <c r="K102" s="459"/>
      <c r="L102" s="97"/>
      <c r="M102" s="97"/>
      <c r="N102" s="97"/>
      <c r="O102" s="97"/>
      <c r="P102" s="97"/>
      <c r="Q102" s="97"/>
    </row>
    <row r="103" spans="2:17">
      <c r="B103" s="212"/>
      <c r="C103" s="212"/>
      <c r="D103" s="212"/>
      <c r="E103" s="71"/>
      <c r="F103" s="97"/>
      <c r="G103" s="97"/>
      <c r="H103" s="97"/>
      <c r="I103" s="97"/>
      <c r="J103" s="97"/>
      <c r="K103" s="459"/>
      <c r="L103" s="97"/>
      <c r="M103" s="97"/>
      <c r="N103" s="97"/>
      <c r="O103" s="97"/>
      <c r="P103" s="97"/>
      <c r="Q103" s="97"/>
    </row>
    <row r="104" spans="2:17">
      <c r="B104" s="212"/>
      <c r="C104" s="212"/>
      <c r="D104" s="212"/>
      <c r="E104" s="71"/>
      <c r="F104" s="97"/>
      <c r="G104" s="97"/>
      <c r="H104" s="97"/>
      <c r="I104" s="97"/>
      <c r="J104" s="97"/>
      <c r="K104" s="459"/>
      <c r="L104" s="97"/>
      <c r="M104" s="97"/>
      <c r="N104" s="97"/>
      <c r="O104" s="97"/>
      <c r="P104" s="97"/>
      <c r="Q104" s="97"/>
    </row>
    <row r="105" spans="2:17">
      <c r="B105" s="212"/>
      <c r="C105" s="212"/>
      <c r="D105" s="212"/>
      <c r="E105" s="71"/>
      <c r="F105" s="97"/>
      <c r="G105" s="242"/>
      <c r="H105" s="242"/>
      <c r="I105" s="242"/>
      <c r="J105" s="97"/>
      <c r="K105" s="459"/>
      <c r="L105" s="97"/>
      <c r="M105" s="97"/>
      <c r="N105" s="97"/>
      <c r="O105" s="97"/>
      <c r="P105" s="97"/>
      <c r="Q105" s="97"/>
    </row>
    <row r="106" spans="2:17">
      <c r="B106" s="212"/>
      <c r="C106" s="212"/>
      <c r="D106" s="212"/>
      <c r="E106" s="71"/>
      <c r="F106" s="97"/>
      <c r="G106" s="242"/>
      <c r="H106" s="242"/>
      <c r="I106" s="242"/>
      <c r="J106" s="97"/>
      <c r="K106" s="459"/>
      <c r="L106" s="97"/>
      <c r="M106" s="97"/>
      <c r="N106" s="97"/>
      <c r="O106" s="97"/>
      <c r="P106" s="97"/>
      <c r="Q106" s="97"/>
    </row>
    <row r="107" spans="2:17">
      <c r="B107" s="212"/>
      <c r="C107" s="212"/>
      <c r="D107" s="212"/>
      <c r="E107" s="71"/>
      <c r="F107" s="97"/>
      <c r="G107" s="242"/>
      <c r="H107" s="242"/>
      <c r="I107" s="242"/>
      <c r="J107" s="97"/>
      <c r="K107" s="459"/>
      <c r="L107" s="97"/>
      <c r="M107" s="97"/>
      <c r="N107" s="97"/>
      <c r="O107" s="97"/>
      <c r="P107" s="97"/>
      <c r="Q107" s="97"/>
    </row>
    <row r="108" spans="2:17">
      <c r="B108" s="212"/>
      <c r="C108" s="212"/>
      <c r="D108" s="212"/>
      <c r="E108" s="118"/>
      <c r="F108" s="97"/>
      <c r="G108" s="242"/>
      <c r="H108" s="242"/>
      <c r="I108" s="242"/>
      <c r="J108" s="97"/>
      <c r="K108" s="459"/>
      <c r="L108" s="97"/>
      <c r="M108" s="97"/>
      <c r="N108" s="97"/>
      <c r="O108" s="97"/>
      <c r="P108" s="97"/>
      <c r="Q108" s="97"/>
    </row>
    <row r="109" spans="2:17">
      <c r="B109" s="212"/>
      <c r="C109" s="212"/>
      <c r="D109" s="212"/>
      <c r="E109" s="72"/>
      <c r="F109" s="97"/>
      <c r="G109" s="97"/>
      <c r="H109" s="97"/>
      <c r="I109" s="97"/>
      <c r="J109" s="97"/>
      <c r="K109" s="459"/>
      <c r="L109" s="97"/>
      <c r="M109" s="97"/>
      <c r="N109" s="97"/>
      <c r="O109" s="97"/>
      <c r="P109" s="97"/>
      <c r="Q109" s="97"/>
    </row>
    <row r="110" spans="2:17">
      <c r="B110" s="212"/>
      <c r="C110" s="212"/>
      <c r="D110" s="212"/>
      <c r="E110" s="72"/>
      <c r="F110" s="97"/>
      <c r="G110" s="97"/>
      <c r="H110" s="97"/>
      <c r="I110" s="97"/>
      <c r="J110" s="97"/>
      <c r="K110" s="459"/>
      <c r="L110" s="97"/>
      <c r="M110" s="97"/>
      <c r="N110" s="97"/>
      <c r="O110" s="97"/>
      <c r="P110" s="97"/>
      <c r="Q110" s="97"/>
    </row>
    <row r="111" spans="2:17">
      <c r="B111" s="212"/>
      <c r="C111" s="212"/>
      <c r="D111" s="212"/>
      <c r="E111" s="72"/>
      <c r="F111" s="97"/>
      <c r="G111" s="242"/>
      <c r="H111" s="242"/>
      <c r="I111" s="242"/>
      <c r="J111" s="97"/>
      <c r="K111" s="459"/>
      <c r="L111" s="97"/>
      <c r="M111" s="97"/>
      <c r="N111" s="97"/>
      <c r="O111" s="97"/>
      <c r="P111" s="97"/>
      <c r="Q111" s="97"/>
    </row>
    <row r="112" spans="2:17">
      <c r="B112" s="212"/>
      <c r="C112" s="212"/>
      <c r="D112" s="212"/>
      <c r="E112" s="72"/>
      <c r="F112" s="97"/>
      <c r="G112" s="242"/>
      <c r="H112" s="242"/>
      <c r="I112" s="242"/>
      <c r="J112" s="97"/>
      <c r="K112" s="459"/>
      <c r="L112" s="97"/>
      <c r="M112" s="97"/>
      <c r="N112" s="97"/>
      <c r="O112" s="97"/>
      <c r="P112" s="97"/>
      <c r="Q112" s="97"/>
    </row>
    <row r="113" spans="2:17">
      <c r="B113" s="212"/>
      <c r="C113" s="212"/>
      <c r="D113" s="212"/>
      <c r="E113" s="72"/>
      <c r="F113" s="97"/>
      <c r="G113" s="242"/>
      <c r="H113" s="242"/>
      <c r="I113" s="242"/>
      <c r="J113" s="97"/>
      <c r="K113" s="459"/>
      <c r="L113" s="97"/>
      <c r="M113" s="97"/>
      <c r="N113" s="97"/>
      <c r="O113" s="97"/>
      <c r="P113" s="97"/>
      <c r="Q113" s="97"/>
    </row>
    <row r="114" spans="2:17">
      <c r="B114" s="212"/>
      <c r="C114" s="212"/>
      <c r="D114" s="212"/>
      <c r="E114" s="119"/>
      <c r="F114" s="97"/>
      <c r="G114" s="218"/>
      <c r="H114" s="218"/>
      <c r="I114" s="97"/>
      <c r="J114" s="97"/>
      <c r="K114" s="459"/>
      <c r="L114" s="97"/>
      <c r="M114" s="97"/>
      <c r="N114" s="97"/>
      <c r="O114" s="97"/>
      <c r="P114" s="97"/>
      <c r="Q114" s="97"/>
    </row>
    <row r="115" spans="2:17">
      <c r="B115" s="212"/>
      <c r="C115" s="212"/>
      <c r="D115" s="212"/>
      <c r="E115" s="72"/>
      <c r="F115" s="97"/>
      <c r="G115" s="218"/>
      <c r="H115" s="218"/>
      <c r="I115" s="240"/>
      <c r="J115" s="240"/>
      <c r="K115" s="461"/>
      <c r="L115" s="97"/>
      <c r="M115" s="97"/>
      <c r="N115" s="97"/>
      <c r="O115" s="97"/>
      <c r="P115" s="97"/>
      <c r="Q115" s="97"/>
    </row>
    <row r="116" spans="2:17">
      <c r="B116" s="212"/>
      <c r="C116" s="212"/>
      <c r="D116" s="212"/>
      <c r="E116" s="72"/>
      <c r="F116" s="97"/>
      <c r="G116" s="218"/>
      <c r="H116" s="218"/>
      <c r="I116" s="242"/>
      <c r="J116" s="97"/>
      <c r="K116" s="459"/>
      <c r="L116" s="97"/>
      <c r="M116" s="97"/>
      <c r="N116" s="97"/>
      <c r="O116" s="97"/>
      <c r="P116" s="97"/>
      <c r="Q116" s="97"/>
    </row>
    <row r="117" spans="2:17">
      <c r="B117" s="212"/>
      <c r="C117" s="212"/>
      <c r="D117" s="212"/>
      <c r="E117" s="72"/>
      <c r="F117" s="97"/>
      <c r="G117" s="218"/>
      <c r="H117" s="218"/>
      <c r="I117" s="243"/>
      <c r="J117" s="97"/>
      <c r="K117" s="459"/>
      <c r="L117" s="97"/>
      <c r="M117" s="97"/>
      <c r="N117" s="97"/>
      <c r="O117" s="97"/>
      <c r="P117" s="97"/>
      <c r="Q117" s="97"/>
    </row>
    <row r="118" spans="2:17">
      <c r="B118" s="212"/>
      <c r="C118" s="212"/>
      <c r="D118" s="212"/>
      <c r="E118" s="72"/>
      <c r="F118" s="97"/>
      <c r="G118" s="218"/>
      <c r="H118" s="218"/>
      <c r="I118" s="242"/>
      <c r="J118" s="242"/>
      <c r="K118" s="463"/>
      <c r="L118" s="97"/>
      <c r="M118" s="97"/>
      <c r="N118" s="97"/>
      <c r="O118" s="97"/>
      <c r="P118" s="97"/>
      <c r="Q118" s="97"/>
    </row>
    <row r="119" spans="2:17">
      <c r="B119" s="212"/>
      <c r="C119" s="212"/>
      <c r="D119" s="212"/>
      <c r="E119" s="72"/>
      <c r="F119" s="218"/>
      <c r="G119" s="218"/>
      <c r="H119" s="218"/>
      <c r="I119" s="218"/>
      <c r="J119" s="218"/>
      <c r="K119" s="456"/>
      <c r="L119" s="218"/>
      <c r="M119" s="218"/>
      <c r="N119" s="218"/>
      <c r="O119" s="218"/>
      <c r="P119" s="218"/>
      <c r="Q119" s="218"/>
    </row>
    <row r="120" spans="2:17">
      <c r="B120" s="212"/>
      <c r="C120" s="212"/>
      <c r="D120" s="212"/>
      <c r="E120" s="72"/>
      <c r="F120" s="241"/>
      <c r="G120" s="218"/>
      <c r="H120" s="218"/>
      <c r="I120" s="97"/>
      <c r="J120" s="241"/>
      <c r="K120" s="462"/>
      <c r="L120" s="241"/>
      <c r="M120" s="241"/>
      <c r="N120" s="241"/>
      <c r="O120" s="241"/>
      <c r="P120" s="97"/>
      <c r="Q120" s="97"/>
    </row>
    <row r="121" spans="2:17">
      <c r="B121" s="212"/>
      <c r="C121" s="212"/>
      <c r="D121" s="212"/>
      <c r="E121" s="72"/>
      <c r="F121" s="241"/>
      <c r="G121" s="218"/>
      <c r="H121" s="218"/>
      <c r="I121" s="97"/>
      <c r="J121" s="241"/>
      <c r="K121" s="462"/>
      <c r="L121" s="241"/>
      <c r="M121" s="241"/>
      <c r="N121" s="241"/>
      <c r="O121" s="241"/>
      <c r="P121" s="97"/>
      <c r="Q121" s="97"/>
    </row>
    <row r="122" spans="2:17">
      <c r="B122" s="212"/>
      <c r="C122" s="212"/>
      <c r="D122" s="212"/>
      <c r="E122" s="72"/>
      <c r="F122" s="241"/>
      <c r="G122" s="218"/>
      <c r="H122" s="218"/>
      <c r="I122" s="97"/>
      <c r="J122" s="241"/>
      <c r="K122" s="462"/>
      <c r="L122" s="241"/>
      <c r="M122" s="241"/>
      <c r="N122" s="241"/>
      <c r="O122" s="241"/>
      <c r="P122" s="97"/>
      <c r="Q122" s="97"/>
    </row>
    <row r="123" spans="2:17" s="216" customFormat="1">
      <c r="B123" s="212"/>
      <c r="C123" s="212"/>
      <c r="D123" s="212"/>
      <c r="E123" s="72"/>
      <c r="F123" s="218"/>
      <c r="G123" s="218"/>
      <c r="H123" s="218"/>
      <c r="I123" s="218"/>
      <c r="J123" s="218"/>
      <c r="K123" s="456"/>
      <c r="L123" s="218"/>
      <c r="M123" s="218"/>
      <c r="N123" s="218"/>
      <c r="O123" s="218"/>
      <c r="P123" s="97"/>
      <c r="Q123" s="97"/>
    </row>
    <row r="124" spans="2:17">
      <c r="B124" s="212"/>
      <c r="C124" s="212"/>
      <c r="D124" s="212"/>
      <c r="E124" s="72"/>
      <c r="F124" s="97"/>
      <c r="G124" s="97"/>
      <c r="H124" s="97"/>
      <c r="I124" s="97"/>
      <c r="J124" s="97"/>
      <c r="K124" s="459"/>
      <c r="L124" s="97"/>
      <c r="M124" s="97"/>
      <c r="N124" s="97"/>
      <c r="O124" s="97"/>
      <c r="P124" s="97"/>
      <c r="Q124" s="97"/>
    </row>
    <row r="125" spans="2:17">
      <c r="B125" s="212"/>
      <c r="C125" s="212"/>
      <c r="D125" s="212"/>
      <c r="E125" s="72"/>
      <c r="F125" s="241"/>
      <c r="G125" s="241"/>
      <c r="H125" s="241"/>
      <c r="I125" s="241"/>
      <c r="J125" s="241"/>
      <c r="K125" s="462"/>
      <c r="L125" s="241"/>
      <c r="M125" s="241"/>
      <c r="N125" s="241"/>
      <c r="O125" s="241"/>
      <c r="P125" s="97"/>
      <c r="Q125" s="97"/>
    </row>
    <row r="126" spans="2:17">
      <c r="B126" s="212"/>
      <c r="C126" s="212"/>
      <c r="D126" s="212"/>
      <c r="E126" s="72"/>
      <c r="F126" s="241"/>
      <c r="G126" s="97"/>
      <c r="H126" s="97"/>
      <c r="I126" s="241"/>
      <c r="J126" s="241"/>
      <c r="K126" s="462"/>
      <c r="L126" s="241"/>
      <c r="M126" s="241"/>
      <c r="N126" s="241"/>
      <c r="O126" s="241"/>
      <c r="P126" s="97"/>
      <c r="Q126" s="97"/>
    </row>
    <row r="127" spans="2:17">
      <c r="B127" s="212"/>
      <c r="C127" s="212"/>
      <c r="D127" s="212"/>
      <c r="E127" s="72"/>
      <c r="F127" s="241"/>
      <c r="G127" s="97"/>
      <c r="H127" s="97"/>
      <c r="I127" s="241"/>
      <c r="J127" s="241"/>
      <c r="K127" s="462"/>
      <c r="L127" s="241"/>
      <c r="M127" s="241"/>
      <c r="N127" s="241"/>
      <c r="O127" s="241"/>
      <c r="P127" s="97"/>
      <c r="Q127" s="97"/>
    </row>
    <row r="128" spans="2:17">
      <c r="B128" s="212"/>
      <c r="C128" s="212"/>
      <c r="D128" s="212"/>
      <c r="E128" s="72"/>
      <c r="F128" s="241"/>
      <c r="G128" s="97"/>
      <c r="H128" s="97"/>
      <c r="I128" s="97"/>
      <c r="J128" s="241"/>
      <c r="K128" s="462"/>
      <c r="L128" s="241"/>
      <c r="M128" s="241"/>
      <c r="N128" s="241"/>
      <c r="O128" s="241"/>
      <c r="P128" s="97"/>
      <c r="Q128" s="97"/>
    </row>
    <row r="129" spans="2:17">
      <c r="B129" s="212"/>
      <c r="C129" s="212"/>
      <c r="D129" s="212"/>
      <c r="E129" s="72"/>
      <c r="F129" s="97"/>
      <c r="G129" s="97"/>
      <c r="H129" s="97"/>
      <c r="I129" s="97"/>
      <c r="J129" s="97"/>
      <c r="K129" s="459"/>
      <c r="L129" s="97"/>
      <c r="M129" s="97"/>
      <c r="N129" s="97"/>
      <c r="O129" s="97"/>
      <c r="P129" s="97"/>
      <c r="Q129" s="97"/>
    </row>
    <row r="130" spans="2:17">
      <c r="B130" s="212"/>
      <c r="C130" s="212"/>
      <c r="D130" s="212"/>
      <c r="E130" s="72"/>
      <c r="F130" s="97"/>
      <c r="G130" s="97"/>
      <c r="H130" s="97"/>
      <c r="I130" s="97"/>
      <c r="J130" s="97"/>
      <c r="K130" s="459"/>
      <c r="L130" s="97"/>
      <c r="M130" s="97"/>
      <c r="N130" s="97"/>
      <c r="O130" s="97"/>
      <c r="P130" s="97"/>
      <c r="Q130" s="97"/>
    </row>
    <row r="131" spans="2:17">
      <c r="B131" s="212"/>
      <c r="C131" s="212"/>
      <c r="D131" s="212"/>
      <c r="E131" s="72"/>
      <c r="F131" s="241"/>
      <c r="G131" s="241"/>
      <c r="H131" s="241"/>
      <c r="I131" s="241"/>
      <c r="J131" s="241"/>
      <c r="K131" s="462"/>
      <c r="L131" s="241"/>
      <c r="M131" s="241"/>
      <c r="N131" s="241"/>
      <c r="O131" s="241"/>
      <c r="P131" s="97"/>
      <c r="Q131" s="97"/>
    </row>
    <row r="132" spans="2:17">
      <c r="B132" s="212"/>
      <c r="C132" s="212"/>
      <c r="D132" s="212"/>
      <c r="E132" s="213"/>
      <c r="F132" s="241"/>
      <c r="G132" s="218"/>
      <c r="H132" s="241"/>
      <c r="I132" s="97"/>
      <c r="J132" s="241"/>
      <c r="K132" s="462"/>
      <c r="L132" s="241"/>
      <c r="M132" s="241"/>
      <c r="N132" s="241"/>
      <c r="O132" s="241"/>
      <c r="P132" s="241"/>
      <c r="Q132" s="241"/>
    </row>
    <row r="133" spans="2:17">
      <c r="B133" s="212"/>
      <c r="C133" s="212"/>
      <c r="D133" s="212"/>
      <c r="E133" s="213"/>
      <c r="F133" s="241"/>
      <c r="G133" s="218"/>
      <c r="H133" s="241"/>
      <c r="I133" s="241"/>
      <c r="J133" s="241"/>
      <c r="K133" s="462"/>
      <c r="L133" s="241"/>
      <c r="M133" s="241"/>
      <c r="N133" s="241"/>
      <c r="O133" s="241"/>
      <c r="P133" s="241"/>
      <c r="Q133" s="241"/>
    </row>
    <row r="134" spans="2:17">
      <c r="B134" s="212"/>
      <c r="C134" s="212"/>
      <c r="D134" s="212"/>
      <c r="E134" s="213"/>
      <c r="F134" s="241"/>
      <c r="G134" s="218"/>
      <c r="H134" s="241"/>
      <c r="I134" s="241"/>
      <c r="J134" s="241"/>
      <c r="K134" s="462"/>
      <c r="L134" s="241"/>
      <c r="M134" s="241"/>
      <c r="N134" s="241"/>
      <c r="O134" s="241"/>
      <c r="P134" s="241"/>
      <c r="Q134" s="241"/>
    </row>
    <row r="135" spans="2:17">
      <c r="B135" s="212"/>
      <c r="C135" s="212"/>
      <c r="D135" s="212"/>
      <c r="E135" s="213"/>
      <c r="F135" s="241"/>
      <c r="G135" s="218"/>
      <c r="H135" s="241"/>
      <c r="I135" s="241"/>
      <c r="J135" s="241"/>
      <c r="K135" s="462"/>
      <c r="L135" s="241"/>
      <c r="M135" s="241"/>
      <c r="N135" s="241"/>
      <c r="O135" s="241"/>
      <c r="P135" s="241"/>
      <c r="Q135" s="241"/>
    </row>
    <row r="136" spans="2:17">
      <c r="B136" s="212"/>
      <c r="C136" s="212"/>
      <c r="D136" s="212"/>
      <c r="E136" s="213"/>
      <c r="F136" s="241"/>
      <c r="G136" s="218"/>
      <c r="H136" s="241"/>
      <c r="I136" s="241"/>
      <c r="J136" s="241"/>
      <c r="K136" s="462"/>
      <c r="L136" s="241"/>
      <c r="M136" s="241"/>
      <c r="N136" s="241"/>
      <c r="O136" s="241"/>
      <c r="P136" s="241"/>
      <c r="Q136" s="241"/>
    </row>
    <row r="137" spans="2:17">
      <c r="B137" s="212"/>
      <c r="C137" s="212"/>
      <c r="D137" s="212"/>
      <c r="E137" s="213"/>
      <c r="F137" s="241"/>
      <c r="G137" s="218"/>
      <c r="H137" s="241"/>
      <c r="I137" s="241"/>
      <c r="J137" s="241"/>
      <c r="K137" s="462"/>
      <c r="L137" s="241"/>
      <c r="M137" s="241"/>
      <c r="N137" s="241"/>
      <c r="O137" s="241"/>
      <c r="P137" s="241"/>
      <c r="Q137" s="241"/>
    </row>
    <row r="138" spans="2:17">
      <c r="B138" s="212"/>
      <c r="C138" s="212"/>
      <c r="D138" s="212"/>
      <c r="E138" s="213"/>
      <c r="F138" s="241"/>
      <c r="G138" s="218"/>
      <c r="H138" s="241"/>
      <c r="I138" s="241"/>
      <c r="J138" s="241"/>
      <c r="K138" s="462"/>
      <c r="L138" s="241"/>
      <c r="M138" s="241"/>
      <c r="N138" s="241"/>
      <c r="O138" s="241"/>
      <c r="P138" s="241"/>
      <c r="Q138" s="241"/>
    </row>
    <row r="139" spans="2:17">
      <c r="B139" s="212"/>
      <c r="C139" s="212"/>
      <c r="D139" s="212"/>
      <c r="E139" s="213"/>
      <c r="F139" s="241"/>
      <c r="G139" s="218"/>
      <c r="H139" s="241"/>
      <c r="I139" s="97"/>
      <c r="J139" s="241"/>
      <c r="K139" s="462"/>
      <c r="L139" s="241"/>
      <c r="M139" s="241"/>
      <c r="N139" s="241"/>
      <c r="O139" s="241"/>
      <c r="P139" s="241"/>
      <c r="Q139" s="241"/>
    </row>
    <row r="140" spans="2:17">
      <c r="B140" s="212"/>
      <c r="C140" s="212"/>
      <c r="D140" s="212"/>
      <c r="E140" s="213"/>
      <c r="F140" s="241"/>
      <c r="G140" s="218"/>
      <c r="H140" s="241"/>
      <c r="I140" s="97"/>
      <c r="J140" s="241"/>
      <c r="K140" s="462"/>
      <c r="L140" s="241"/>
      <c r="M140" s="241"/>
      <c r="N140" s="241"/>
      <c r="O140" s="241"/>
      <c r="P140" s="241"/>
      <c r="Q140" s="241"/>
    </row>
    <row r="141" spans="2:17">
      <c r="B141" s="212"/>
      <c r="C141" s="212"/>
      <c r="D141" s="212"/>
      <c r="E141" s="213"/>
      <c r="F141" s="241"/>
      <c r="G141" s="218"/>
      <c r="H141" s="241"/>
      <c r="I141" s="97"/>
      <c r="J141" s="241"/>
      <c r="K141" s="462"/>
      <c r="L141" s="241"/>
      <c r="M141" s="241"/>
      <c r="N141" s="241"/>
      <c r="O141" s="241"/>
      <c r="P141" s="241"/>
      <c r="Q141" s="241"/>
    </row>
    <row r="142" spans="2:17">
      <c r="B142" s="212"/>
      <c r="C142" s="212"/>
      <c r="D142" s="212"/>
      <c r="E142" s="213"/>
      <c r="F142" s="241"/>
      <c r="G142" s="218"/>
      <c r="H142" s="241"/>
      <c r="I142" s="97"/>
      <c r="J142" s="241"/>
      <c r="K142" s="462"/>
      <c r="L142" s="241"/>
      <c r="M142" s="241"/>
      <c r="N142" s="241"/>
      <c r="O142" s="241"/>
      <c r="P142" s="241"/>
      <c r="Q142" s="241"/>
    </row>
    <row r="143" spans="2:17">
      <c r="B143" s="212"/>
      <c r="C143" s="212"/>
      <c r="D143" s="212"/>
      <c r="E143" s="213"/>
      <c r="F143" s="218"/>
      <c r="G143" s="218"/>
      <c r="H143" s="241"/>
      <c r="I143" s="241"/>
      <c r="J143" s="241"/>
      <c r="K143" s="462"/>
      <c r="L143" s="241"/>
      <c r="M143" s="241"/>
      <c r="N143" s="241"/>
      <c r="O143" s="241"/>
      <c r="P143" s="241"/>
      <c r="Q143" s="241"/>
    </row>
    <row r="144" spans="2:17">
      <c r="B144" s="212"/>
      <c r="C144" s="212"/>
      <c r="D144" s="212"/>
      <c r="E144" s="213"/>
      <c r="F144" s="218"/>
      <c r="G144" s="218"/>
      <c r="H144" s="241"/>
      <c r="I144" s="241"/>
      <c r="J144" s="241"/>
      <c r="K144" s="462"/>
      <c r="L144" s="241"/>
      <c r="M144" s="241"/>
      <c r="N144" s="241"/>
      <c r="O144" s="241"/>
      <c r="P144" s="241"/>
      <c r="Q144" s="241"/>
    </row>
    <row r="145" spans="2:17">
      <c r="B145" s="212"/>
      <c r="C145" s="212"/>
      <c r="D145" s="212"/>
      <c r="E145" s="213"/>
      <c r="F145" s="218"/>
      <c r="G145" s="218"/>
      <c r="H145" s="241"/>
      <c r="I145" s="241"/>
      <c r="J145" s="241"/>
      <c r="K145" s="462"/>
      <c r="L145" s="241"/>
      <c r="M145" s="241"/>
      <c r="N145" s="241"/>
      <c r="O145" s="241"/>
      <c r="P145" s="241"/>
      <c r="Q145" s="241"/>
    </row>
    <row r="146" spans="2:17">
      <c r="B146" s="212"/>
      <c r="C146" s="212"/>
      <c r="D146" s="212"/>
      <c r="E146" s="213"/>
      <c r="F146" s="218"/>
      <c r="G146" s="218"/>
      <c r="H146" s="241"/>
      <c r="I146" s="241"/>
      <c r="J146" s="241"/>
      <c r="K146" s="462"/>
      <c r="L146" s="241"/>
      <c r="M146" s="241"/>
      <c r="N146" s="241"/>
      <c r="O146" s="241"/>
      <c r="P146" s="241"/>
      <c r="Q146" s="241"/>
    </row>
    <row r="147" spans="2:17">
      <c r="B147" s="212"/>
      <c r="C147" s="212"/>
      <c r="D147" s="212"/>
      <c r="E147" s="213"/>
      <c r="F147" s="218"/>
      <c r="G147" s="218"/>
      <c r="H147" s="241"/>
      <c r="I147" s="241"/>
      <c r="J147" s="241"/>
      <c r="K147" s="462"/>
      <c r="L147" s="241"/>
      <c r="M147" s="241"/>
      <c r="N147" s="241"/>
      <c r="O147" s="241"/>
      <c r="P147" s="241"/>
      <c r="Q147" s="241"/>
    </row>
    <row r="148" spans="2:17">
      <c r="B148" s="212"/>
      <c r="C148" s="212"/>
      <c r="D148" s="212"/>
      <c r="E148" s="213"/>
      <c r="F148" s="218"/>
      <c r="G148" s="218"/>
      <c r="H148" s="241"/>
      <c r="I148" s="241"/>
      <c r="J148" s="241"/>
      <c r="K148" s="462"/>
      <c r="L148" s="241"/>
      <c r="M148" s="241"/>
      <c r="N148" s="241"/>
      <c r="O148" s="241"/>
      <c r="P148" s="241"/>
      <c r="Q148" s="241"/>
    </row>
    <row r="149" spans="2:17">
      <c r="B149" s="212"/>
      <c r="C149" s="212"/>
      <c r="D149" s="212"/>
      <c r="E149" s="213"/>
      <c r="F149" s="218"/>
      <c r="G149" s="218"/>
      <c r="H149" s="241"/>
      <c r="I149" s="241"/>
      <c r="J149" s="241"/>
      <c r="K149" s="462"/>
      <c r="L149" s="241"/>
      <c r="M149" s="241"/>
      <c r="N149" s="241"/>
      <c r="O149" s="241"/>
      <c r="P149" s="241"/>
      <c r="Q149" s="241"/>
    </row>
    <row r="150" spans="2:17">
      <c r="B150" s="212"/>
      <c r="C150" s="212"/>
      <c r="D150" s="212"/>
      <c r="E150" s="213"/>
      <c r="F150" s="218"/>
      <c r="G150" s="218"/>
      <c r="H150" s="241"/>
      <c r="I150" s="241"/>
      <c r="J150" s="241"/>
      <c r="K150" s="462"/>
      <c r="L150" s="241"/>
      <c r="M150" s="241"/>
      <c r="N150" s="241"/>
      <c r="O150" s="241"/>
      <c r="P150" s="241"/>
      <c r="Q150" s="241"/>
    </row>
    <row r="151" spans="2:17">
      <c r="B151" s="212"/>
      <c r="C151" s="212"/>
      <c r="D151" s="212"/>
      <c r="E151" s="213"/>
      <c r="F151" s="218"/>
      <c r="G151" s="218"/>
      <c r="H151" s="241"/>
      <c r="I151" s="241"/>
      <c r="J151" s="241"/>
      <c r="K151" s="462"/>
      <c r="L151" s="241"/>
      <c r="M151" s="241"/>
      <c r="N151" s="241"/>
      <c r="O151" s="241"/>
      <c r="P151" s="241"/>
      <c r="Q151" s="241"/>
    </row>
    <row r="152" spans="2:17">
      <c r="B152" s="212"/>
      <c r="C152" s="212"/>
      <c r="D152" s="212"/>
      <c r="E152" s="213"/>
      <c r="F152" s="218"/>
      <c r="G152" s="218"/>
      <c r="H152" s="241"/>
      <c r="I152" s="241"/>
      <c r="J152" s="241"/>
      <c r="K152" s="462"/>
      <c r="L152" s="241"/>
      <c r="M152" s="241"/>
      <c r="N152" s="241"/>
      <c r="O152" s="241"/>
      <c r="P152" s="241"/>
      <c r="Q152" s="241"/>
    </row>
    <row r="153" spans="2:17">
      <c r="B153" s="212"/>
      <c r="C153" s="212"/>
      <c r="D153" s="212"/>
      <c r="E153" s="213"/>
      <c r="F153" s="218"/>
      <c r="G153" s="218"/>
      <c r="H153" s="241"/>
      <c r="I153" s="241"/>
      <c r="J153" s="241"/>
      <c r="K153" s="462"/>
      <c r="L153" s="241"/>
      <c r="M153" s="241"/>
      <c r="N153" s="241"/>
      <c r="O153" s="241"/>
      <c r="P153" s="241"/>
      <c r="Q153" s="241"/>
    </row>
    <row r="154" spans="2:17">
      <c r="B154" s="212"/>
      <c r="C154" s="212"/>
      <c r="D154" s="212"/>
      <c r="E154" s="213"/>
      <c r="F154" s="241"/>
      <c r="G154" s="218"/>
      <c r="H154" s="241"/>
      <c r="I154" s="241"/>
      <c r="J154" s="241"/>
      <c r="K154" s="462"/>
      <c r="L154" s="241"/>
      <c r="M154" s="241"/>
      <c r="N154" s="241"/>
      <c r="O154" s="241"/>
      <c r="P154" s="241"/>
      <c r="Q154" s="241"/>
    </row>
    <row r="155" spans="2:17">
      <c r="B155" s="212"/>
      <c r="C155" s="212"/>
      <c r="D155" s="220"/>
      <c r="E155" s="71"/>
      <c r="F155" s="247"/>
      <c r="G155" s="241"/>
      <c r="H155" s="241"/>
      <c r="I155" s="248"/>
      <c r="J155" s="247"/>
      <c r="K155" s="464"/>
      <c r="L155" s="247"/>
      <c r="M155" s="247"/>
      <c r="N155" s="247"/>
      <c r="O155" s="247"/>
      <c r="P155" s="241"/>
      <c r="Q155" s="241"/>
    </row>
    <row r="156" spans="2:17">
      <c r="B156" s="212"/>
      <c r="C156" s="212"/>
      <c r="D156" s="215"/>
      <c r="E156" s="213"/>
      <c r="F156" s="241"/>
      <c r="G156" s="218"/>
      <c r="H156" s="241"/>
      <c r="I156" s="241"/>
      <c r="J156" s="241"/>
      <c r="K156" s="462"/>
      <c r="L156" s="241"/>
      <c r="M156" s="241"/>
      <c r="N156" s="241"/>
      <c r="O156" s="241"/>
      <c r="P156" s="241"/>
      <c r="Q156" s="241"/>
    </row>
    <row r="157" spans="2:17">
      <c r="B157" s="212"/>
      <c r="C157" s="212"/>
      <c r="D157" s="215"/>
      <c r="E157" s="213"/>
      <c r="F157" s="241"/>
      <c r="G157" s="218"/>
      <c r="H157" s="241"/>
      <c r="I157" s="241"/>
      <c r="J157" s="241"/>
      <c r="K157" s="462"/>
      <c r="L157" s="241"/>
      <c r="M157" s="241"/>
      <c r="N157" s="241"/>
      <c r="O157" s="241"/>
      <c r="P157" s="241"/>
      <c r="Q157" s="241"/>
    </row>
    <row r="158" spans="2:17">
      <c r="B158" s="212"/>
      <c r="C158" s="212"/>
      <c r="D158" s="220"/>
      <c r="E158" s="213"/>
      <c r="F158" s="248"/>
      <c r="G158" s="248"/>
      <c r="H158" s="248"/>
      <c r="I158" s="248"/>
      <c r="J158" s="248"/>
      <c r="K158" s="465"/>
      <c r="L158" s="248"/>
      <c r="M158" s="248"/>
      <c r="N158" s="248"/>
      <c r="O158" s="248"/>
      <c r="P158" s="248"/>
      <c r="Q158" s="97"/>
    </row>
    <row r="159" spans="2:17">
      <c r="B159" s="212"/>
      <c r="C159" s="212"/>
      <c r="D159" s="212"/>
      <c r="E159" s="213"/>
      <c r="F159" s="241"/>
      <c r="G159" s="218"/>
      <c r="H159" s="241"/>
      <c r="I159" s="241"/>
      <c r="J159" s="241"/>
      <c r="K159" s="462"/>
      <c r="L159" s="241"/>
      <c r="M159" s="241"/>
      <c r="N159" s="241"/>
      <c r="O159" s="241"/>
      <c r="P159" s="241"/>
      <c r="Q159" s="241"/>
    </row>
    <row r="160" spans="2:17">
      <c r="B160" s="212"/>
      <c r="C160" s="212"/>
      <c r="D160" s="212"/>
      <c r="E160" s="71"/>
      <c r="F160" s="241"/>
      <c r="G160" s="218"/>
      <c r="H160" s="241"/>
      <c r="I160" s="241"/>
      <c r="J160" s="241"/>
      <c r="K160" s="462"/>
      <c r="L160" s="241"/>
      <c r="M160" s="241"/>
      <c r="N160" s="241"/>
      <c r="O160" s="241"/>
      <c r="P160" s="241"/>
      <c r="Q160" s="241"/>
    </row>
    <row r="161" spans="2:17">
      <c r="B161" s="221"/>
      <c r="C161" s="217"/>
      <c r="D161" s="212"/>
      <c r="E161" s="118"/>
      <c r="F161" s="241"/>
      <c r="G161" s="218"/>
      <c r="H161" s="241"/>
      <c r="I161" s="241"/>
      <c r="J161" s="241"/>
      <c r="K161" s="462"/>
      <c r="L161" s="241"/>
      <c r="M161" s="241"/>
      <c r="N161" s="241"/>
      <c r="O161" s="241"/>
      <c r="P161" s="241"/>
      <c r="Q161" s="241"/>
    </row>
    <row r="162" spans="2:17">
      <c r="B162" s="221"/>
      <c r="C162" s="217"/>
      <c r="D162" s="212"/>
      <c r="E162" s="118"/>
      <c r="F162" s="241"/>
      <c r="G162" s="218"/>
      <c r="H162" s="241"/>
      <c r="I162" s="241"/>
      <c r="J162" s="241"/>
      <c r="K162" s="462"/>
      <c r="L162" s="241"/>
      <c r="M162" s="241"/>
      <c r="N162" s="241"/>
      <c r="O162" s="241"/>
      <c r="P162" s="241"/>
      <c r="Q162" s="241"/>
    </row>
    <row r="163" spans="2:17">
      <c r="B163" s="221"/>
      <c r="C163" s="217"/>
      <c r="D163" s="212"/>
      <c r="E163" s="118"/>
      <c r="F163" s="241"/>
      <c r="G163" s="218"/>
      <c r="H163" s="241"/>
      <c r="I163" s="241"/>
      <c r="J163" s="241"/>
      <c r="K163" s="462"/>
      <c r="L163" s="241"/>
      <c r="M163" s="241"/>
      <c r="N163" s="241"/>
      <c r="O163" s="241"/>
      <c r="P163" s="241"/>
      <c r="Q163" s="241"/>
    </row>
    <row r="164" spans="2:17">
      <c r="B164" s="221"/>
      <c r="C164" s="217"/>
      <c r="D164" s="212"/>
      <c r="E164" s="118"/>
      <c r="F164" s="241"/>
      <c r="G164" s="218"/>
      <c r="H164" s="241"/>
      <c r="I164" s="241"/>
      <c r="J164" s="241"/>
      <c r="K164" s="462"/>
      <c r="L164" s="241"/>
      <c r="M164" s="241"/>
      <c r="N164" s="241"/>
      <c r="O164" s="241"/>
      <c r="P164" s="241"/>
      <c r="Q164" s="241"/>
    </row>
    <row r="165" spans="2:17">
      <c r="B165" s="221"/>
      <c r="C165" s="217"/>
      <c r="D165" s="212"/>
      <c r="E165" s="118"/>
      <c r="F165" s="241"/>
      <c r="G165" s="218"/>
      <c r="H165" s="241"/>
      <c r="I165" s="241"/>
      <c r="J165" s="241"/>
      <c r="K165" s="462"/>
      <c r="L165" s="241"/>
      <c r="M165" s="241"/>
      <c r="N165" s="241"/>
      <c r="O165" s="241"/>
      <c r="P165" s="241"/>
      <c r="Q165" s="241"/>
    </row>
    <row r="166" spans="2:17">
      <c r="B166" s="221"/>
      <c r="C166" s="217"/>
      <c r="D166" s="212"/>
      <c r="E166" s="118"/>
      <c r="F166" s="241"/>
      <c r="G166" s="218"/>
      <c r="H166" s="241"/>
      <c r="I166" s="241"/>
      <c r="J166" s="241"/>
      <c r="K166" s="462"/>
      <c r="L166" s="241"/>
      <c r="M166" s="241"/>
      <c r="N166" s="241"/>
      <c r="O166" s="241"/>
      <c r="P166" s="241"/>
      <c r="Q166" s="241"/>
    </row>
    <row r="167" spans="2:17">
      <c r="B167" s="221"/>
      <c r="C167" s="217"/>
      <c r="D167" s="212"/>
      <c r="E167" s="118"/>
      <c r="F167" s="241"/>
      <c r="G167" s="218"/>
      <c r="H167" s="241"/>
      <c r="I167" s="241"/>
      <c r="J167" s="241"/>
      <c r="K167" s="462"/>
      <c r="L167" s="241"/>
      <c r="M167" s="241"/>
      <c r="N167" s="241"/>
      <c r="O167" s="241"/>
      <c r="P167" s="241"/>
      <c r="Q167" s="241"/>
    </row>
    <row r="168" spans="2:17">
      <c r="B168" s="221"/>
      <c r="C168" s="217"/>
      <c r="D168" s="212"/>
      <c r="E168" s="249"/>
      <c r="F168" s="241"/>
      <c r="G168" s="218"/>
      <c r="H168" s="241"/>
      <c r="I168" s="241"/>
      <c r="J168" s="241"/>
      <c r="K168" s="462"/>
      <c r="L168" s="241"/>
      <c r="M168" s="241"/>
      <c r="N168" s="241"/>
      <c r="O168" s="241"/>
      <c r="P168" s="241"/>
      <c r="Q168" s="241"/>
    </row>
    <row r="169" spans="2:17">
      <c r="B169" s="221"/>
      <c r="C169" s="217"/>
      <c r="D169" s="212"/>
      <c r="E169" s="118"/>
      <c r="F169" s="241"/>
      <c r="G169" s="218"/>
      <c r="H169" s="241"/>
      <c r="I169" s="241"/>
      <c r="J169" s="241"/>
      <c r="K169" s="462"/>
      <c r="L169" s="241"/>
      <c r="M169" s="241"/>
      <c r="N169" s="241"/>
      <c r="O169" s="241"/>
      <c r="P169" s="241"/>
      <c r="Q169" s="241"/>
    </row>
    <row r="170" spans="2:17">
      <c r="B170" s="212"/>
      <c r="C170" s="212"/>
      <c r="D170" s="212"/>
      <c r="E170" s="71"/>
      <c r="F170" s="241"/>
      <c r="G170" s="218"/>
      <c r="H170" s="241"/>
      <c r="I170" s="241"/>
      <c r="J170" s="241"/>
      <c r="K170" s="462"/>
      <c r="L170" s="241"/>
      <c r="M170" s="241"/>
      <c r="N170" s="241"/>
      <c r="O170" s="241"/>
      <c r="P170" s="241"/>
      <c r="Q170" s="241"/>
    </row>
    <row r="171" spans="2:17">
      <c r="B171" s="212"/>
      <c r="C171" s="212"/>
      <c r="D171" s="212"/>
      <c r="E171" s="213"/>
      <c r="F171" s="241"/>
      <c r="G171" s="218"/>
      <c r="H171" s="241"/>
      <c r="I171" s="241"/>
      <c r="J171" s="241"/>
      <c r="K171" s="462"/>
      <c r="L171" s="241"/>
      <c r="M171" s="241"/>
      <c r="N171" s="241"/>
      <c r="O171" s="241"/>
      <c r="P171" s="241"/>
      <c r="Q171" s="241"/>
    </row>
    <row r="172" spans="2:17">
      <c r="B172" s="212"/>
      <c r="C172" s="212"/>
      <c r="D172" s="212"/>
      <c r="E172" s="213"/>
      <c r="F172" s="241"/>
      <c r="G172" s="218"/>
      <c r="H172" s="241"/>
      <c r="I172" s="241"/>
      <c r="J172" s="241"/>
      <c r="K172" s="462"/>
      <c r="L172" s="241"/>
      <c r="M172" s="241"/>
      <c r="N172" s="241"/>
      <c r="O172" s="241"/>
      <c r="P172" s="241"/>
      <c r="Q172" s="241"/>
    </row>
    <row r="173" spans="2:17">
      <c r="B173" s="238"/>
      <c r="C173" s="212"/>
      <c r="D173" s="212"/>
      <c r="E173" s="213"/>
      <c r="F173" s="100"/>
      <c r="G173" s="219"/>
      <c r="H173" s="100"/>
      <c r="I173" s="100"/>
      <c r="J173" s="100"/>
      <c r="K173" s="460"/>
      <c r="L173" s="100"/>
      <c r="M173" s="100"/>
      <c r="N173" s="100"/>
      <c r="O173" s="100"/>
      <c r="P173" s="100"/>
      <c r="Q173" s="100"/>
    </row>
    <row r="174" spans="2:17">
      <c r="B174" s="238"/>
      <c r="C174" s="212"/>
      <c r="D174" s="212"/>
      <c r="E174" s="213"/>
      <c r="F174" s="100"/>
      <c r="G174" s="219"/>
      <c r="H174" s="100"/>
      <c r="I174" s="100"/>
      <c r="J174" s="100"/>
      <c r="K174" s="460"/>
      <c r="L174" s="100"/>
      <c r="M174" s="100"/>
      <c r="N174" s="100"/>
      <c r="O174" s="100"/>
      <c r="P174" s="100"/>
      <c r="Q174" s="100"/>
    </row>
    <row r="175" spans="2:17">
      <c r="B175" s="238"/>
      <c r="C175" s="237"/>
      <c r="D175" s="238"/>
      <c r="E175" s="237"/>
      <c r="F175" s="238"/>
      <c r="G175" s="238"/>
      <c r="H175" s="238"/>
      <c r="I175" s="238"/>
      <c r="J175" s="238"/>
      <c r="K175" s="451"/>
      <c r="L175" s="238"/>
      <c r="M175" s="238"/>
      <c r="N175" s="238"/>
      <c r="O175" s="238"/>
      <c r="P175" s="238"/>
      <c r="Q175" s="238"/>
    </row>
  </sheetData>
  <sortState ref="B5:O70">
    <sortCondition ref="B5"/>
  </sortState>
  <pageMargins left="0.70866141732283472" right="0.70866141732283472" top="0.74803149606299213" bottom="0.74803149606299213" header="0.31496062992125984" footer="0.31496062992125984"/>
  <pageSetup paperSize="8" scale="54"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8</vt:i4>
      </vt:variant>
    </vt:vector>
  </HeadingPairs>
  <TitlesOfParts>
    <vt:vector size="20" baseType="lpstr">
      <vt:lpstr>Introduction et jurisprudence</vt:lpstr>
      <vt:lpstr>identification PNN + codes</vt:lpstr>
      <vt:lpstr>méthodes d'analyse (1)</vt:lpstr>
      <vt:lpstr>méthodes d'analyse (2)</vt:lpstr>
      <vt:lpstr>méthodes d'analyse (3)</vt:lpstr>
      <vt:lpstr>VL - légende et commentaires</vt:lpstr>
      <vt:lpstr>VL - synthèse</vt:lpstr>
      <vt:lpstr>VL - détail VLH (Risc Human)</vt:lpstr>
      <vt:lpstr>VL - détail VLH (S-Risk)</vt:lpstr>
      <vt:lpstr>VL - détail VLnappe</vt:lpstr>
      <vt:lpstr>VL - détail paramètres et VTR</vt:lpstr>
      <vt:lpstr>VL - PNN sans VL</vt:lpstr>
      <vt:lpstr>'VL - détail VLH (Risc Human)'!Criteres</vt:lpstr>
      <vt:lpstr>'VL - détail VLH (S-Risk)'!Criteres</vt:lpstr>
      <vt:lpstr>'VL - détail VLH (Risc Human)'!Impression_des_titres</vt:lpstr>
      <vt:lpstr>'VL - détail VLH (S-Risk)'!Impression_des_titres</vt:lpstr>
      <vt:lpstr>'VL - détail VLnappe'!Impression_des_titres</vt:lpstr>
      <vt:lpstr>'VL - synthèse'!Impression_des_titres</vt:lpstr>
      <vt:lpstr>'VL - détail VLH (Risc Human)'!Zone_d_impression</vt:lpstr>
      <vt:lpstr>'VL - détail VLH (S-Risk)'!Zone_d_impression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2006-09-12T15:06:44Z</dcterms:created>
  <dcterms:modified xsi:type="dcterms:W3CDTF">2018-06-18T07:01:43Z</dcterms:modified>
</cp:coreProperties>
</file>